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https://netorgft4117119-my.sharepoint.com/personal/celia_celiajohnsonconsulting_com/Documents/IL SAG 2021/Fuel Conversion Working Group/Meetings 3-4 - May/May 24 Meeting/"/>
    </mc:Choice>
  </mc:AlternateContent>
  <xr:revisionPtr revIDLastSave="0" documentId="8_{ACAD6D88-54A8-415B-8D23-F23EC801975F}" xr6:coauthVersionLast="46" xr6:coauthVersionMax="46" xr10:uidLastSave="{00000000-0000-0000-0000-000000000000}"/>
  <bookViews>
    <workbookView xWindow="-110" yWindow="-110" windowWidth="19420" windowHeight="10420" activeTab="3" xr2:uid="{00000000-000D-0000-FFFF-FFFF00000000}"/>
    <workbookView visibility="hidden" xWindow="-110" yWindow="-110" windowWidth="19420" windowHeight="10420" firstSheet="3" activeTab="3" xr2:uid="{00000000-000D-0000-FFFF-FFFF01000000}"/>
  </bookViews>
  <sheets>
    <sheet name="Background" sheetId="2" r:id="rId1"/>
    <sheet name="Screening Criteria-80AFUE" sheetId="13" r:id="rId2"/>
    <sheet name="Screening Criteria-95AFUE" sheetId="5" r:id="rId3"/>
    <sheet name="Counting Savings_CURRENT" sheetId="10" r:id="rId4"/>
    <sheet name="Counting Savings OPTONS" sheetId="12" r:id="rId5"/>
    <sheet name="Baseline ASHP" sheetId="7" r:id="rId6"/>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2" l="1"/>
  <c r="D26" i="10"/>
  <c r="D14" i="13"/>
  <c r="D14" i="5"/>
  <c r="B71" i="5"/>
  <c r="B50" i="5"/>
  <c r="B29" i="5"/>
  <c r="B8" i="5"/>
  <c r="P83" i="13" l="1"/>
  <c r="C75" i="13"/>
  <c r="P73" i="13"/>
  <c r="P79" i="13" s="1"/>
  <c r="P62" i="13"/>
  <c r="C54" i="13"/>
  <c r="D53" i="13"/>
  <c r="P65" i="13" s="1"/>
  <c r="P52" i="13"/>
  <c r="P58" i="13" s="1"/>
  <c r="P44" i="13"/>
  <c r="P41" i="13"/>
  <c r="D35" i="13"/>
  <c r="D56" i="13" s="1"/>
  <c r="D34" i="13"/>
  <c r="D55" i="13" s="1"/>
  <c r="C33" i="13"/>
  <c r="P31" i="13"/>
  <c r="P37" i="13" s="1"/>
  <c r="D31" i="13"/>
  <c r="P38" i="13" s="1"/>
  <c r="P25" i="13"/>
  <c r="F19" i="13" s="1"/>
  <c r="P24" i="13"/>
  <c r="P23" i="13"/>
  <c r="P21" i="13"/>
  <c r="P17" i="13"/>
  <c r="P12" i="13"/>
  <c r="P10" i="13"/>
  <c r="P16" i="13" s="1"/>
  <c r="AC53" i="12"/>
  <c r="W41" i="12"/>
  <c r="W37" i="12"/>
  <c r="W34" i="12"/>
  <c r="W30" i="12"/>
  <c r="W24" i="12"/>
  <c r="H24" i="12"/>
  <c r="W26" i="12" s="1"/>
  <c r="W22" i="12"/>
  <c r="W29" i="12" s="1"/>
  <c r="W31" i="12" s="1"/>
  <c r="W16" i="12"/>
  <c r="F12" i="12" s="1"/>
  <c r="W15" i="12"/>
  <c r="W14" i="12"/>
  <c r="W13" i="12"/>
  <c r="W10" i="12"/>
  <c r="W9" i="12"/>
  <c r="W5" i="12"/>
  <c r="W3" i="12"/>
  <c r="W8" i="12" s="1"/>
  <c r="I12" i="12" s="1"/>
  <c r="W11" i="12" l="1"/>
  <c r="C12" i="12" s="1"/>
  <c r="AC45" i="12"/>
  <c r="W17" i="12"/>
  <c r="L12" i="12" s="1"/>
  <c r="P45" i="13"/>
  <c r="P18" i="13"/>
  <c r="C19" i="13" s="1"/>
  <c r="D52" i="13"/>
  <c r="P59" i="13" s="1"/>
  <c r="P60" i="13" s="1"/>
  <c r="C61" i="13" s="1"/>
  <c r="D77" i="13"/>
  <c r="P87" i="13" s="1"/>
  <c r="P66" i="13"/>
  <c r="P39" i="13"/>
  <c r="C40" i="13" s="1"/>
  <c r="D76" i="13"/>
  <c r="P75" i="13" s="1"/>
  <c r="P54" i="13"/>
  <c r="D73" i="13"/>
  <c r="P80" i="13" s="1"/>
  <c r="P81" i="13" s="1"/>
  <c r="C82" i="13" s="1"/>
  <c r="D74" i="13"/>
  <c r="P86" i="13" s="1"/>
  <c r="P33" i="13"/>
  <c r="W27" i="12"/>
  <c r="W42" i="12"/>
  <c r="W32" i="12"/>
  <c r="C31" i="12"/>
  <c r="C32" i="12"/>
  <c r="W43" i="12"/>
  <c r="AC47" i="12" s="1"/>
  <c r="AC52" i="12"/>
  <c r="W28" i="12"/>
  <c r="AC44" i="12"/>
  <c r="H24" i="10"/>
  <c r="C27" i="7"/>
  <c r="AC53" i="10"/>
  <c r="O43" i="7"/>
  <c r="W41" i="10"/>
  <c r="W37" i="10"/>
  <c r="W34" i="10"/>
  <c r="W30" i="10"/>
  <c r="W24" i="10"/>
  <c r="W22" i="10"/>
  <c r="W29" i="10" s="1"/>
  <c r="W15" i="10"/>
  <c r="W14" i="10"/>
  <c r="W16" i="10" s="1"/>
  <c r="F12" i="10" s="1"/>
  <c r="W13" i="10"/>
  <c r="W10" i="10"/>
  <c r="W9" i="10"/>
  <c r="W5" i="10"/>
  <c r="W3" i="10"/>
  <c r="W8" i="10" s="1"/>
  <c r="I12" i="10" s="1"/>
  <c r="D34" i="5"/>
  <c r="C14" i="12" l="1"/>
  <c r="AC52" i="10"/>
  <c r="P29" i="7"/>
  <c r="W26" i="10"/>
  <c r="AC44" i="10" s="1"/>
  <c r="AC23" i="12"/>
  <c r="F31" i="12"/>
  <c r="F32" i="12"/>
  <c r="L31" i="12"/>
  <c r="L32" i="12"/>
  <c r="AE24" i="12" s="1"/>
  <c r="I31" i="12"/>
  <c r="C34" i="12" s="1"/>
  <c r="P47" i="12" s="1"/>
  <c r="I32" i="12"/>
  <c r="AC24" i="12" s="1"/>
  <c r="W43" i="10"/>
  <c r="AC45" i="10"/>
  <c r="W11" i="10"/>
  <c r="C12" i="10" s="1"/>
  <c r="W17" i="10"/>
  <c r="L12" i="10" s="1"/>
  <c r="W31" i="10"/>
  <c r="W28" i="10"/>
  <c r="G34" i="12" l="1"/>
  <c r="P54" i="12" s="1"/>
  <c r="AC25" i="12"/>
  <c r="AE23" i="12"/>
  <c r="AE26" i="12" s="1"/>
  <c r="AC46" i="12"/>
  <c r="G35" i="12"/>
  <c r="C35" i="12"/>
  <c r="C14" i="10"/>
  <c r="W27" i="10"/>
  <c r="I31" i="10" s="1"/>
  <c r="W42" i="10"/>
  <c r="F32" i="10" s="1"/>
  <c r="AE23" i="10" s="1"/>
  <c r="W32" i="10"/>
  <c r="C32" i="10"/>
  <c r="AC23" i="10" s="1"/>
  <c r="AC47" i="10"/>
  <c r="L32" i="10"/>
  <c r="L31" i="10"/>
  <c r="C31" i="10"/>
  <c r="N47" i="12" l="1"/>
  <c r="R47" i="12" s="1"/>
  <c r="C36" i="12"/>
  <c r="N54" i="12"/>
  <c r="R54" i="12" s="1"/>
  <c r="G36" i="12"/>
  <c r="AC27" i="12"/>
  <c r="AC46" i="10"/>
  <c r="I32" i="10"/>
  <c r="G34" i="10" s="1"/>
  <c r="P54" i="10" s="1"/>
  <c r="F31" i="10"/>
  <c r="C35" i="10" s="1"/>
  <c r="N47" i="10" s="1"/>
  <c r="C34" i="10"/>
  <c r="P47" i="10" s="1"/>
  <c r="AE24" i="10"/>
  <c r="AE26" i="10" s="1"/>
  <c r="G35" i="10"/>
  <c r="AC24" i="10" l="1"/>
  <c r="AC25" i="10" s="1"/>
  <c r="AC27" i="10" s="1"/>
  <c r="N53" i="12"/>
  <c r="R53" i="12" s="1"/>
  <c r="P55" i="12"/>
  <c r="R55" i="12" s="1"/>
  <c r="N46" i="12"/>
  <c r="R46" i="12" s="1"/>
  <c r="P48" i="12"/>
  <c r="R48" i="12" s="1"/>
  <c r="R47" i="10"/>
  <c r="C36" i="10"/>
  <c r="P48" i="10" s="1"/>
  <c r="R48" i="10" s="1"/>
  <c r="G36" i="10"/>
  <c r="N54" i="10"/>
  <c r="R54" i="10" s="1"/>
  <c r="N46" i="10" l="1"/>
  <c r="R46" i="10" s="1"/>
  <c r="P55" i="10"/>
  <c r="R55" i="10" s="1"/>
  <c r="N53" i="10"/>
  <c r="R53" i="10" s="1"/>
  <c r="P38" i="7" l="1"/>
  <c r="P37" i="7"/>
  <c r="P36" i="7"/>
  <c r="P27" i="7"/>
  <c r="P25" i="7"/>
  <c r="D25" i="7"/>
  <c r="P33" i="7" s="1"/>
  <c r="P18" i="7"/>
  <c r="P17" i="7"/>
  <c r="P19" i="7" s="1"/>
  <c r="F15" i="7" s="1"/>
  <c r="P16" i="7"/>
  <c r="P20" i="7" s="1"/>
  <c r="L15" i="7" s="1"/>
  <c r="P13" i="7"/>
  <c r="P12" i="7"/>
  <c r="P14" i="7" s="1"/>
  <c r="C15" i="7" s="1"/>
  <c r="P8" i="7"/>
  <c r="P6" i="7"/>
  <c r="P11" i="7" s="1"/>
  <c r="I15" i="7" s="1"/>
  <c r="P83" i="5"/>
  <c r="P62" i="5"/>
  <c r="P41" i="5"/>
  <c r="P21" i="5"/>
  <c r="D53" i="5"/>
  <c r="P65" i="5" s="1"/>
  <c r="D35" i="5"/>
  <c r="D56" i="5" s="1"/>
  <c r="P33" i="5"/>
  <c r="D31" i="5"/>
  <c r="P38" i="5" s="1"/>
  <c r="C75" i="5"/>
  <c r="C54" i="5"/>
  <c r="P73" i="5"/>
  <c r="P79" i="5" s="1"/>
  <c r="P52" i="5"/>
  <c r="P58" i="5" s="1"/>
  <c r="C33" i="5"/>
  <c r="P31" i="5"/>
  <c r="P37" i="5" s="1"/>
  <c r="P10" i="5"/>
  <c r="P16" i="5" s="1"/>
  <c r="P44" i="5"/>
  <c r="P17" i="5"/>
  <c r="P24" i="5"/>
  <c r="P23" i="5"/>
  <c r="P25" i="5" s="1"/>
  <c r="F19" i="5" s="1"/>
  <c r="P12" i="5"/>
  <c r="D9" i="2"/>
  <c r="E5" i="13" l="1"/>
  <c r="E5" i="5"/>
  <c r="D74" i="5"/>
  <c r="P86" i="5" s="1"/>
  <c r="P30" i="7"/>
  <c r="AC48" i="12" s="1"/>
  <c r="P31" i="7"/>
  <c r="P39" i="7"/>
  <c r="F34" i="7" s="1"/>
  <c r="F35" i="7" s="1"/>
  <c r="P40" i="7"/>
  <c r="L34" i="7" s="1"/>
  <c r="L35" i="7" s="1"/>
  <c r="P32" i="7"/>
  <c r="P34" i="7" s="1"/>
  <c r="C34" i="7" s="1"/>
  <c r="P39" i="5"/>
  <c r="C40" i="5" s="1"/>
  <c r="P18" i="5"/>
  <c r="C19" i="5" s="1"/>
  <c r="C17" i="7"/>
  <c r="D52" i="5"/>
  <c r="P59" i="5" s="1"/>
  <c r="P60" i="5" s="1"/>
  <c r="C61" i="5" s="1"/>
  <c r="P66" i="5"/>
  <c r="D77" i="5"/>
  <c r="P87" i="5" s="1"/>
  <c r="D55" i="5"/>
  <c r="P45" i="5"/>
  <c r="P90" i="5" l="1"/>
  <c r="L82" i="5" s="1"/>
  <c r="C85" i="5" s="1"/>
  <c r="P77" i="5"/>
  <c r="P88" i="5" s="1"/>
  <c r="F82" i="5" s="1"/>
  <c r="P35" i="5"/>
  <c r="P56" i="5"/>
  <c r="P67" i="5" s="1"/>
  <c r="F61" i="5" s="1"/>
  <c r="P14" i="5"/>
  <c r="P47" i="5"/>
  <c r="L40" i="5" s="1"/>
  <c r="P77" i="13"/>
  <c r="P35" i="13"/>
  <c r="P56" i="13"/>
  <c r="P14" i="13"/>
  <c r="P60" i="10"/>
  <c r="AC51" i="12"/>
  <c r="AC49" i="12"/>
  <c r="P60" i="12"/>
  <c r="P66" i="12"/>
  <c r="AC48" i="10"/>
  <c r="AC51" i="10"/>
  <c r="P66" i="10"/>
  <c r="D73" i="5"/>
  <c r="P80" i="5" s="1"/>
  <c r="P81" i="5" s="1"/>
  <c r="C82" i="5" s="1"/>
  <c r="I34" i="7"/>
  <c r="AC49" i="10"/>
  <c r="P54" i="5"/>
  <c r="P57" i="5" s="1"/>
  <c r="I61" i="5" s="1"/>
  <c r="D76" i="5"/>
  <c r="P75" i="5" s="1"/>
  <c r="P78" i="5" s="1"/>
  <c r="C64" i="5" l="1"/>
  <c r="P68" i="5"/>
  <c r="L61" i="5" s="1"/>
  <c r="P78" i="13"/>
  <c r="I82" i="13" s="1"/>
  <c r="C84" i="13" s="1"/>
  <c r="P90" i="13"/>
  <c r="L82" i="13" s="1"/>
  <c r="P88" i="13"/>
  <c r="F82" i="13" s="1"/>
  <c r="P15" i="13"/>
  <c r="I19" i="13" s="1"/>
  <c r="P26" i="13"/>
  <c r="L19" i="13" s="1"/>
  <c r="C22" i="13" s="1"/>
  <c r="P36" i="5"/>
  <c r="I40" i="5" s="1"/>
  <c r="C42" i="5" s="1"/>
  <c r="P46" i="5"/>
  <c r="F40" i="5" s="1"/>
  <c r="P46" i="13"/>
  <c r="F40" i="13" s="1"/>
  <c r="P47" i="13"/>
  <c r="L40" i="13" s="1"/>
  <c r="C43" i="13" s="1"/>
  <c r="P36" i="13"/>
  <c r="I40" i="13" s="1"/>
  <c r="C42" i="13" s="1"/>
  <c r="P26" i="5"/>
  <c r="L19" i="5" s="1"/>
  <c r="C22" i="5" s="1"/>
  <c r="P15" i="5"/>
  <c r="I19" i="5" s="1"/>
  <c r="P67" i="13"/>
  <c r="F61" i="13" s="1"/>
  <c r="P68" i="13"/>
  <c r="L61" i="13" s="1"/>
  <c r="P57" i="13"/>
  <c r="I61" i="13" s="1"/>
  <c r="N59" i="12"/>
  <c r="R59" i="12" s="1"/>
  <c r="N65" i="12"/>
  <c r="R65" i="12" s="1"/>
  <c r="AC55" i="12"/>
  <c r="N60" i="12"/>
  <c r="R60" i="12" s="1"/>
  <c r="N66" i="12"/>
  <c r="R66" i="12" s="1"/>
  <c r="P67" i="12"/>
  <c r="R67" i="12" s="1"/>
  <c r="P61" i="12"/>
  <c r="R61" i="12" s="1"/>
  <c r="P61" i="10"/>
  <c r="R61" i="10" s="1"/>
  <c r="C65" i="5"/>
  <c r="C90" i="5" s="1"/>
  <c r="C63" i="5"/>
  <c r="N66" i="10"/>
  <c r="R66" i="10" s="1"/>
  <c r="N65" i="10"/>
  <c r="R65" i="10" s="1"/>
  <c r="P67" i="10"/>
  <c r="R67" i="10" s="1"/>
  <c r="N59" i="10"/>
  <c r="AC55" i="10"/>
  <c r="N60" i="10"/>
  <c r="R60" i="10" s="1"/>
  <c r="I35" i="7"/>
  <c r="AC50" i="12" s="1"/>
  <c r="I82" i="5"/>
  <c r="C86" i="5" s="1"/>
  <c r="C89" i="5" s="1"/>
  <c r="C65" i="13" l="1"/>
  <c r="C63" i="13"/>
  <c r="C64" i="13"/>
  <c r="C23" i="5"/>
  <c r="C25" i="5" s="1"/>
  <c r="C21" i="5"/>
  <c r="C21" i="13"/>
  <c r="C23" i="13"/>
  <c r="C25" i="13" s="1"/>
  <c r="C43" i="5"/>
  <c r="C44" i="5"/>
  <c r="C46" i="5" s="1"/>
  <c r="C86" i="13"/>
  <c r="C89" i="13" s="1"/>
  <c r="C85" i="13"/>
  <c r="C44" i="13"/>
  <c r="C46" i="13" s="1"/>
  <c r="C67" i="5"/>
  <c r="C84" i="5"/>
  <c r="AC50" i="10"/>
  <c r="C67" i="13" l="1"/>
  <c r="C90" i="13"/>
  <c r="R5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Manjarres, Thomas D</author>
  </authors>
  <commentList>
    <comment ref="R45" authorId="0" shapeId="0" xr:uid="{00000000-0006-0000-0300-000001000000}">
      <text>
        <r>
          <rPr>
            <b/>
            <sz val="9"/>
            <color indexed="81"/>
            <rFont val="Tahoma"/>
            <charset val="1"/>
          </rPr>
          <t>Manjarres, Thomas D:</t>
        </r>
        <r>
          <rPr>
            <sz val="9"/>
            <color indexed="81"/>
            <rFont val="Tahoma"/>
            <charset val="1"/>
          </rPr>
          <t xml:space="preserve">
Source energy screening and claiming source savings means:
1. Calculate total source energy savings in MMBtu
2. If the measure produces positive total source energy savings, it is an eligible fuel switch measure.
3. Divide total source savings MMBtu amongst participating utilities
4. Convert electric utility's allocated source MMBtu savings to kWh "on an equivalent basis at the site," which is 3,412 Btu/kWh (or 1 MMBtu = 293 kWh)
5. Convert gas utility's allocated source MMBtu to therms "on an equivalent basis at the site," which is 100,000 Btu/therm (or 1 MMBtu = 10 therms)</t>
        </r>
      </text>
    </comment>
    <comment ref="R52" authorId="0" shapeId="0" xr:uid="{00000000-0006-0000-0300-000002000000}">
      <text>
        <r>
          <rPr>
            <b/>
            <sz val="9"/>
            <color indexed="81"/>
            <rFont val="Tahoma"/>
            <charset val="1"/>
          </rPr>
          <t>Manjarres, Thomas D:</t>
        </r>
        <r>
          <rPr>
            <sz val="9"/>
            <color indexed="81"/>
            <rFont val="Tahoma"/>
            <charset val="1"/>
          </rPr>
          <t xml:space="preserve">
Source energy screening and claiming site energy savings means:
1. Calculate total source energy savings in MMBtu
2. If the measure produces positive total source energy savings, it is an eligible fuel switch measure.
3. Calculate the site energy savings in MMBtu that result from eligible fuel switch measures.
4.  Divide site energy savings MMBtu amongst participating utilities
5.  Convert electric utility's allocated site MMBtu savings to kWh "on an equivalent basis at the site," which is 3,412 Btu/kWh (or 1 MMBtu = 293 kWh)
6. Convert gas utility's allocated site MMBtu savings to therms "on an equivalent basis at the site," which is 100,000 Btu/therm (or 1 MMBtu = 10 therms)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Manjarres, Thomas D</author>
  </authors>
  <commentList>
    <comment ref="R45" authorId="0" shapeId="0" xr:uid="{00000000-0006-0000-0400-000001000000}">
      <text>
        <r>
          <rPr>
            <b/>
            <sz val="11"/>
            <color indexed="81"/>
            <rFont val="Tahoma"/>
            <family val="2"/>
          </rPr>
          <t>Manjarres, Thomas D:</t>
        </r>
        <r>
          <rPr>
            <sz val="11"/>
            <color indexed="81"/>
            <rFont val="Tahoma"/>
            <family val="2"/>
          </rPr>
          <t xml:space="preserve">
Proces for claiming source energy savings:
1. Calculate total source energy savings in MMBtu
2. If the measure produces positive total source energy savings, it is an eligible fuel switch measure.
3. Divide total source savings MMBtu amongst participating utilities
4. Convert electric utility's allocated source MMBtu savings to kWh "on an equivalent basis at the site," which is 3,412 Btu/kWh (or 1 MMBtu = 293 kWh)
5. Convert gas utility's allocated source MMBtu to therms "on an equivalent basis at the site," which is 100,000 Btu/therm (or 1 MMBtu = 10 therms)</t>
        </r>
      </text>
    </comment>
    <comment ref="C47" authorId="0" shapeId="0" xr:uid="{00000000-0006-0000-0400-000002000000}">
      <text>
        <r>
          <rPr>
            <b/>
            <sz val="9"/>
            <color indexed="81"/>
            <rFont val="Tahoma"/>
            <charset val="1"/>
          </rPr>
          <t>Manjarres, Thomas D:</t>
        </r>
        <r>
          <rPr>
            <sz val="9"/>
            <color indexed="81"/>
            <rFont val="Tahoma"/>
            <charset val="1"/>
          </rPr>
          <t xml:space="preserve">
cooling savings result in an increase in kWh for heating, but electric utility is not penalized for it.  Similar to heating penalty from lighting.</t>
        </r>
      </text>
    </comment>
    <comment ref="R52" authorId="0" shapeId="0" xr:uid="{00000000-0006-0000-0400-000003000000}">
      <text>
        <r>
          <rPr>
            <b/>
            <sz val="11"/>
            <color indexed="81"/>
            <rFont val="Tahoma"/>
            <family val="2"/>
          </rPr>
          <t>Manjarres, Thomas D:</t>
        </r>
        <r>
          <rPr>
            <sz val="11"/>
            <color indexed="81"/>
            <rFont val="Tahoma"/>
            <family val="2"/>
          </rPr>
          <t xml:space="preserve">
Process for claiming SITE energy savings:
1. Calculate total source energy savings in MMBtu
2. If the measure produces positive total source energy savings, it is an eligible fuel switch measure.
3. Calculate the site energy savings in MMBtu that result from eligible fuel switch measures.
4.  Divide site energy savings MMBtu amongst participating utilities
5.  Convert electric utility's allocated site MMBtu savings to kWh "on an equivalent basis at the site," which is 3,412 Btu/kWh (or 1 MMBtu = 293 kWh)
6. Convert gas utility's allocated site MMBtu savings to therms "on an equivalent basis at the site," which is 100,000 Btu/therm (or 1 MMBtu = 10 therms)</t>
        </r>
        <r>
          <rPr>
            <sz val="9"/>
            <color indexed="81"/>
            <rFont val="Tahoma"/>
            <charset val="1"/>
          </rPr>
          <t xml:space="preserve">
</t>
        </r>
      </text>
    </comment>
  </commentList>
</comments>
</file>

<file path=xl/sharedStrings.xml><?xml version="1.0" encoding="utf-8"?>
<sst xmlns="http://schemas.openxmlformats.org/spreadsheetml/2006/main" count="1303" uniqueCount="184">
  <si>
    <t>Background:</t>
  </si>
  <si>
    <t>Natural gas source-to-site ratio</t>
  </si>
  <si>
    <t>Meaning</t>
  </si>
  <si>
    <r>
      <t xml:space="preserve">Source savings = (pre-intervention source consumption) - (post-intervention source energy consumption)
Source energy savings test:
From IL TRM v 9.0 "If source energy savings calculated above is </t>
    </r>
    <r>
      <rPr>
        <b/>
        <sz val="11"/>
        <color theme="1"/>
        <rFont val="Calibri"/>
        <family val="2"/>
        <scheme val="minor"/>
      </rPr>
      <t xml:space="preserve">positive, </t>
    </r>
    <r>
      <rPr>
        <sz val="11"/>
        <color theme="1"/>
        <rFont val="Calibri"/>
        <family val="2"/>
        <scheme val="minor"/>
      </rPr>
      <t>the measure is eligible"
source-to-site ratio = total energy input at the source in Btus / energy delivered to the consumer in Btus</t>
    </r>
  </si>
  <si>
    <t>Electric source-to-site ratio - ComEd customers</t>
  </si>
  <si>
    <t>Electric source-to-site ratio - Ameren customers</t>
  </si>
  <si>
    <t xml:space="preserve">1 kWh = </t>
  </si>
  <si>
    <t>Btu</t>
  </si>
  <si>
    <t>Btu/kWh</t>
  </si>
  <si>
    <t>Heat Rate</t>
  </si>
  <si>
    <t xml:space="preserve">1 therm = </t>
  </si>
  <si>
    <t>For every Btu of natural gas consumed by the customer, 1.01 Btu of energy are required at the source.</t>
  </si>
  <si>
    <t>-</t>
  </si>
  <si>
    <t>For every Btu of electricity consumed by the customer, 3.16 Btu of energy are required at the source.</t>
  </si>
  <si>
    <t>For every Btu of electricity consumed by the customer, 3.07 Btu of energy are required at the source.</t>
  </si>
  <si>
    <t xml:space="preserve">Conversions  </t>
  </si>
  <si>
    <t>Source-to-site ratios as of 2019 (most recent EPA data)</t>
  </si>
  <si>
    <t>kWh</t>
  </si>
  <si>
    <t>Example:</t>
  </si>
  <si>
    <t>Citation:</t>
  </si>
  <si>
    <t>ENERGY STAR</t>
  </si>
  <si>
    <t>none</t>
  </si>
  <si>
    <t>central A/C</t>
  </si>
  <si>
    <t>Existing heating system:</t>
  </si>
  <si>
    <t>Existing cooling system:</t>
  </si>
  <si>
    <t>New heating system:</t>
  </si>
  <si>
    <t>New cooling system:</t>
  </si>
  <si>
    <t>Electric ASHP</t>
  </si>
  <si>
    <t>Gas furnace</t>
  </si>
  <si>
    <t>AFUE</t>
  </si>
  <si>
    <t xml:space="preserve">Source energy savings = </t>
  </si>
  <si>
    <t>energy consumed by existing heating system</t>
  </si>
  <si>
    <t>+</t>
  </si>
  <si>
    <t>energy consumed by existng cooling system</t>
  </si>
  <si>
    <t>energy consumed by new heating system</t>
  </si>
  <si>
    <t>energy consumed by new cooling system</t>
  </si>
  <si>
    <t>MMBtu</t>
  </si>
  <si>
    <t>Fuel switch eligibility:</t>
  </si>
  <si>
    <t>SEER</t>
  </si>
  <si>
    <t xml:space="preserve">SITE energy savings = </t>
  </si>
  <si>
    <t xml:space="preserve">Scenario 1: Existing IL TRM Measure 5.3.1 Air Source Heat Pump (post erratum fix) </t>
  </si>
  <si>
    <r>
      <t xml:space="preserve">This measure results in negative source energy savings.  This means more energy will be required to meet the heating and cooling end uses </t>
    </r>
    <r>
      <rPr>
        <b/>
        <i/>
        <sz val="11"/>
        <color theme="1"/>
        <rFont val="Calibri"/>
        <family val="2"/>
        <scheme val="minor"/>
      </rPr>
      <t xml:space="preserve">after </t>
    </r>
    <r>
      <rPr>
        <b/>
        <sz val="11"/>
        <color theme="1"/>
        <rFont val="Calibri"/>
        <family val="2"/>
        <scheme val="minor"/>
      </rPr>
      <t>intervention by the EE program than what is currently required to meet the end uses.</t>
    </r>
  </si>
  <si>
    <t>site energy</t>
  </si>
  <si>
    <t>Color code:</t>
  </si>
  <si>
    <t>source energy</t>
  </si>
  <si>
    <t>Capacity_heating</t>
  </si>
  <si>
    <t>FLHheat_ASHP</t>
  </si>
  <si>
    <t>HSPF_ee</t>
  </si>
  <si>
    <t>HSPF_adj</t>
  </si>
  <si>
    <t>ASHPSourceHeat</t>
  </si>
  <si>
    <t>HSPF</t>
  </si>
  <si>
    <t xml:space="preserve">GasHeatReplaced = </t>
  </si>
  <si>
    <t>Capacity_cooling</t>
  </si>
  <si>
    <t>seer_base</t>
  </si>
  <si>
    <t>seer_ee</t>
  </si>
  <si>
    <t>existing cooling consumption</t>
  </si>
  <si>
    <t>new cooling system consumption</t>
  </si>
  <si>
    <t xml:space="preserve">Location: </t>
  </si>
  <si>
    <t>TRM inputs</t>
  </si>
  <si>
    <t>FLHheat_ASHP_Marion</t>
  </si>
  <si>
    <t>Hgrid (Illustrative example only)</t>
  </si>
  <si>
    <t>Climate Zone (city based upon)</t>
  </si>
  <si>
    <t>Full Load Hours by Location and Heating System</t>
  </si>
  <si>
    <t>Gas Heating FLH</t>
  </si>
  <si>
    <t>Air Source Heat Pump FLH</t>
  </si>
  <si>
    <t xml:space="preserve">Climate Zone </t>
  </si>
  <si>
    <t>FLH Cooling</t>
  </si>
  <si>
    <t>user input</t>
  </si>
  <si>
    <t>5 (Marion, IL)</t>
  </si>
  <si>
    <t>4 (Belleville, IL)</t>
  </si>
  <si>
    <t>3 (Springfield, IL)</t>
  </si>
  <si>
    <t>1 (Rockford, IL)</t>
  </si>
  <si>
    <t>2 (Chicago, IL)</t>
  </si>
  <si>
    <t>FLHheat_furnace</t>
  </si>
  <si>
    <t>FLHcool</t>
  </si>
  <si>
    <t>Btu/hr</t>
  </si>
  <si>
    <t>Effect of screening criteria on measure eligibility and counting savings (4 scenarios)</t>
  </si>
  <si>
    <t>Source: U.S. EPA</t>
  </si>
  <si>
    <t>Measure supported by:</t>
  </si>
  <si>
    <t>Electric utility only</t>
  </si>
  <si>
    <t>Electric and gas utility</t>
  </si>
  <si>
    <t>Gas utility only</t>
  </si>
  <si>
    <t>Electric utility claims:</t>
  </si>
  <si>
    <t>Gas utility claims:</t>
  </si>
  <si>
    <t>A</t>
  </si>
  <si>
    <t>B</t>
  </si>
  <si>
    <t>C</t>
  </si>
  <si>
    <t>D</t>
  </si>
  <si>
    <t xml:space="preserve">SITE energy claimable savings = </t>
  </si>
  <si>
    <t>source energy claimable savings =</t>
  </si>
  <si>
    <t>Claiming source energy savings - explanation of values</t>
  </si>
  <si>
    <t>values</t>
  </si>
  <si>
    <t>Source energy savings calculation:</t>
  </si>
  <si>
    <t>Site energy savings calculation:</t>
  </si>
  <si>
    <t>Source energy savings calc:</t>
  </si>
  <si>
    <t>Site energy savings calc:</t>
  </si>
  <si>
    <t xml:space="preserve">Current IL TRM methodology </t>
  </si>
  <si>
    <t>Claiming site energy savings - explanation of values</t>
  </si>
  <si>
    <t>--&gt; code minimum heating effriciency</t>
  </si>
  <si>
    <t>--&gt; code minimum cooling efficiency</t>
  </si>
  <si>
    <t>Existing equipment:</t>
  </si>
  <si>
    <t>New equipment:</t>
  </si>
  <si>
    <t>code minimum gas furnace, code minimum central a/c</t>
  </si>
  <si>
    <t>Heating efficiency</t>
  </si>
  <si>
    <t>Cooling efficiency</t>
  </si>
  <si>
    <t>80% AFUE</t>
  </si>
  <si>
    <t>13.3 HSPF</t>
  </si>
  <si>
    <t>20.5 SEER</t>
  </si>
  <si>
    <t>13 SEER</t>
  </si>
  <si>
    <t>Annual cooling costs</t>
  </si>
  <si>
    <t>Annual heating costs</t>
  </si>
  <si>
    <t>Annual savings - heating</t>
  </si>
  <si>
    <t>Annual savings - cooling</t>
  </si>
  <si>
    <t>*Combined annual savings</t>
  </si>
  <si>
    <t>high-efficiency cold climate heat pump</t>
  </si>
  <si>
    <t>Electric grid heat rate:</t>
  </si>
  <si>
    <t>Gas utlity claims:</t>
  </si>
  <si>
    <t>therms</t>
  </si>
  <si>
    <t>Total claimed savings</t>
  </si>
  <si>
    <t xml:space="preserve">1 MMBtu = </t>
  </si>
  <si>
    <r>
      <t>*</t>
    </r>
    <r>
      <rPr>
        <b/>
        <sz val="11"/>
        <color rgb="FFFF0000"/>
        <rFont val="Calibri"/>
        <family val="2"/>
        <scheme val="minor"/>
      </rPr>
      <t>This measure saves source energy but increases customer energy bills</t>
    </r>
  </si>
  <si>
    <t>Source-to-site ratio = heat rate / 3,412 Btu/kWh</t>
  </si>
  <si>
    <t>Annual home heat load</t>
  </si>
  <si>
    <t>Capacity_heating output ASHP</t>
  </si>
  <si>
    <t>MMBtu/yr</t>
  </si>
  <si>
    <t>Existing IL TRM Measure 5.3.1 Air Source Heat Pump</t>
  </si>
  <si>
    <t>Fuel switch eligible:</t>
  </si>
  <si>
    <t>YES.  Measure saves source energy</t>
  </si>
  <si>
    <r>
      <t xml:space="preserve">NO. Measure results in negative source energy savings.  This means more energy will be required to meet the heating and cooling end uses </t>
    </r>
    <r>
      <rPr>
        <b/>
        <i/>
        <sz val="11"/>
        <color theme="1"/>
        <rFont val="Calibri"/>
        <family val="2"/>
        <scheme val="minor"/>
      </rPr>
      <t xml:space="preserve">after </t>
    </r>
    <r>
      <rPr>
        <b/>
        <sz val="11"/>
        <color theme="1"/>
        <rFont val="Calibri"/>
        <family val="2"/>
        <scheme val="minor"/>
      </rPr>
      <t>intervention by the EE program compared to what is currently required.</t>
    </r>
  </si>
  <si>
    <t>ASHPSourceHeatConsumed</t>
  </si>
  <si>
    <t>source cooling savings * 293 kWh/MMBtu</t>
  </si>
  <si>
    <t>source heating savings * 10 therms/MMBtu</t>
  </si>
  <si>
    <t>Source heating savings =</t>
  </si>
  <si>
    <t>Source cooling savings =</t>
  </si>
  <si>
    <t>site cooling saivngs * 293 kWh/MMBtu</t>
  </si>
  <si>
    <t>site heating savings * 10 therms/MMBtu</t>
  </si>
  <si>
    <t>Site heating savings =</t>
  </si>
  <si>
    <t xml:space="preserve">Site cooling savings = </t>
  </si>
  <si>
    <t>1 MMBtu =</t>
  </si>
  <si>
    <t>site consumption of baseline ASHP in heating mode</t>
  </si>
  <si>
    <t>∆Therms</t>
  </si>
  <si>
    <t xml:space="preserve">GasHeatReplaced </t>
  </si>
  <si>
    <t>kWhtoTherm_source</t>
  </si>
  <si>
    <t>1 therm =</t>
  </si>
  <si>
    <t>ASHPHeatConsumed_kWh</t>
  </si>
  <si>
    <t>site heating savings from code minimum ASHP to efficient ASHP in kWh</t>
  </si>
  <si>
    <t>site heating savings from code minimum ASHP to efficient ASHP in MMBtu</t>
  </si>
  <si>
    <t>TRM Allocation Method: Gas savings converted to kWh using site conversion</t>
  </si>
  <si>
    <t>kWhtoTherm_site</t>
  </si>
  <si>
    <t>therms/kWh</t>
  </si>
  <si>
    <t>energy consumed by a baseline ASHP-heating</t>
  </si>
  <si>
    <t>energy consumed by a baseline ASHP-cooling</t>
  </si>
  <si>
    <t>ASHPSourceEnergy_Heating</t>
  </si>
  <si>
    <t>ASHPSourceEnergy_Heating in kWh</t>
  </si>
  <si>
    <t>site cooling savings_MMBtu</t>
  </si>
  <si>
    <t>site cooling savings_kWh</t>
  </si>
  <si>
    <t>site consumption of baseline ASHP in heating mode_kWh</t>
  </si>
  <si>
    <t>new cooling system consumption_kWh</t>
  </si>
  <si>
    <t>existing cooling consumption_kWh</t>
  </si>
  <si>
    <t>Current TRM Method : Gas consumption converted to kWh using electric grid heat rate</t>
  </si>
  <si>
    <t>heating savings =</t>
  </si>
  <si>
    <t>cooling savings =</t>
  </si>
  <si>
    <t>SITE heating savings =</t>
  </si>
  <si>
    <t xml:space="preserve">SITE cooling savings = </t>
  </si>
  <si>
    <t>Total claimed savings:</t>
  </si>
  <si>
    <t xml:space="preserve">Energy savings = </t>
  </si>
  <si>
    <t>total source energy savings * 293 kWh/MMBtu</t>
  </si>
  <si>
    <t xml:space="preserve">total source energy savings * 10 therms/MMBtu </t>
  </si>
  <si>
    <t>total site energy savings * 293 kWh/MMBtu</t>
  </si>
  <si>
    <t>total site energy savings * 10therms/MMBtu</t>
  </si>
  <si>
    <t xml:space="preserve">   site cooling savings 
+ site heating savings from code minimum ASHP to efficien ASHP - site consumption    of baseline ASHP in heating mode 
+ (reduced site gas consumption/kWhtoTherm_source)</t>
  </si>
  <si>
    <t xml:space="preserve">  site cooling savings 
+ site heating savings from code minimum ASHP to efficient ASHP in heating mode</t>
  </si>
  <si>
    <t xml:space="preserve">  reduced site gas consumption 
- site energy consumption of baseline ASHP in heating mode</t>
  </si>
  <si>
    <t xml:space="preserve">  reduced site gas consumption 
- site energy consumption of baseline ASHP in heating mode 
+ site cooling saivngs 
+ site savings from baseline ASHP to efficient ASHP in heating mode</t>
  </si>
  <si>
    <t xml:space="preserve">   site cooling savings 
+ site heating savings from code minimum ASHP to efficien ASHP 
- site consumption of baseline ASHP in heating mode 
+ (reduced site gas consumption/kWhtoTherm_source</t>
  </si>
  <si>
    <t xml:space="preserve">   site cooling savings 
+ site heating savings from code minimum ASHP to efficient ASHP in heating mode</t>
  </si>
  <si>
    <t>--&gt; Common ASHP ratings</t>
  </si>
  <si>
    <t>Existing IL TRM Measure 5.3.1 Air Source Heat Pump BASELINE ASHP</t>
  </si>
  <si>
    <t>Scenario 1: Current TRM method - No existing cooling sytem</t>
  </si>
  <si>
    <t>Scenario 2: Current TRM method - Existing cooling system</t>
  </si>
  <si>
    <t>Scenario 3: Scenario 2 inputs with source energy included for existing natural gas heating system</t>
  </si>
  <si>
    <t>Scenario 4: Scenario 2 inputs with SITE energy as screening criteria</t>
  </si>
  <si>
    <t>--&gt; Efficient ASHP ratings</t>
  </si>
  <si>
    <t>NOTE: the "new heating system" and "new cooling system" in this scenario represent the minimum efficiency requirements of a code compliant electric air source heat pump.  These values are used in the current TRM's savings allocation 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</si>
</sst>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_(* #,##0_);_(* \(#,##0\);_(* &quot;-&quot;??_);_(@_)"/>
    <numFmt numFmtId="166" formatCode="0.00000000000000"/>
    <numFmt numFmtId="167" formatCode="#,##0.0"/>
  </numFmts>
  <fonts count="21" x14ac:knownFonts="1">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b/>
      <u/>
      <sz val="11"/>
      <color theme="1"/>
      <name val="Calibri"/>
      <family val="2"/>
      <scheme val="minor"/>
    </font>
    <font>
      <b/>
      <u/>
      <sz val="18"/>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u/>
      <sz val="11"/>
      <color theme="10"/>
      <name val="Calibri"/>
      <family val="2"/>
      <scheme val="minor"/>
    </font>
    <font>
      <b/>
      <u/>
      <sz val="11"/>
      <color theme="10"/>
      <name val="Calibri"/>
      <family val="2"/>
      <scheme val="minor"/>
    </font>
    <font>
      <b/>
      <sz val="16"/>
      <color theme="1"/>
      <name val="Calibri"/>
      <family val="2"/>
      <scheme val="minor"/>
    </font>
    <font>
      <b/>
      <i/>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FF0000"/>
      <name val="Calibri"/>
      <family val="2"/>
      <scheme val="minor"/>
    </font>
    <font>
      <sz val="9"/>
      <color indexed="81"/>
      <name val="Tahoma"/>
      <charset val="1"/>
    </font>
    <font>
      <b/>
      <sz val="9"/>
      <color indexed="81"/>
      <name val="Tahoma"/>
      <charset val="1"/>
    </font>
    <font>
      <b/>
      <sz val="11"/>
      <color indexed="81"/>
      <name val="Tahoma"/>
      <family val="2"/>
    </font>
    <font>
      <sz val="11"/>
      <color indexed="81"/>
      <name val="Tahoma"/>
      <family val="2"/>
    </font>
  </fonts>
  <fills count="13">
    <fill>
      <patternFill patternType="none"/>
    </fill>
    <fill>
      <patternFill patternType="gray125"/>
    </fill>
    <fill>
      <patternFill patternType="solid">
        <fgColor rgb="FFFFCC99"/>
      </patternFill>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s>
  <borders count="56">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2" borderId="1" applyNumberFormat="0" applyAlignment="0" applyProtection="0"/>
    <xf numFmtId="0" fontId="9" fillId="0" borderId="0" applyNumberFormat="0" applyFill="0" applyBorder="0" applyAlignment="0" applyProtection="0"/>
  </cellStyleXfs>
  <cellXfs count="383">
    <xf numFmtId="0" fontId="0" fillId="0" borderId="0" xfId="0"/>
    <xf numFmtId="9" fontId="0" fillId="0" borderId="0" xfId="0" applyNumberFormat="1"/>
    <xf numFmtId="0" fontId="3" fillId="0" borderId="0" xfId="0" applyFont="1"/>
    <xf numFmtId="0" fontId="0" fillId="0" borderId="0" xfId="0" applyAlignment="1">
      <alignment horizontal="center"/>
    </xf>
    <xf numFmtId="0" fontId="0" fillId="3" borderId="5" xfId="0" applyFill="1" applyBorder="1"/>
    <xf numFmtId="0" fontId="0" fillId="3" borderId="6" xfId="0" applyFill="1" applyBorder="1"/>
    <xf numFmtId="0" fontId="0" fillId="3" borderId="7" xfId="0" applyFill="1" applyBorder="1"/>
    <xf numFmtId="0" fontId="0" fillId="0" borderId="10" xfId="0" applyBorder="1"/>
    <xf numFmtId="0" fontId="0" fillId="3" borderId="8" xfId="0" applyFill="1" applyBorder="1"/>
    <xf numFmtId="0" fontId="0" fillId="3" borderId="10" xfId="0" applyFill="1" applyBorder="1"/>
    <xf numFmtId="3" fontId="0" fillId="3" borderId="0" xfId="0" applyNumberFormat="1" applyFill="1" applyBorder="1"/>
    <xf numFmtId="0" fontId="0" fillId="0" borderId="0" xfId="0" applyFill="1" applyBorder="1"/>
    <xf numFmtId="0" fontId="0" fillId="0" borderId="13" xfId="0" applyBorder="1"/>
    <xf numFmtId="0" fontId="0" fillId="0" borderId="14" xfId="0" applyBorder="1"/>
    <xf numFmtId="0" fontId="0" fillId="0" borderId="15" xfId="0" applyBorder="1"/>
    <xf numFmtId="0" fontId="0" fillId="0" borderId="0" xfId="0" applyBorder="1"/>
    <xf numFmtId="0" fontId="0" fillId="0" borderId="16" xfId="0" applyBorder="1"/>
    <xf numFmtId="0" fontId="0" fillId="0" borderId="18" xfId="0" applyBorder="1"/>
    <xf numFmtId="0" fontId="0" fillId="0" borderId="19" xfId="0" applyBorder="1"/>
    <xf numFmtId="0" fontId="0" fillId="4" borderId="13" xfId="0" applyFill="1" applyBorder="1"/>
    <xf numFmtId="0" fontId="0" fillId="4" borderId="14" xfId="0" applyFill="1" applyBorder="1"/>
    <xf numFmtId="0" fontId="0" fillId="4" borderId="22" xfId="0" applyFill="1" applyBorder="1"/>
    <xf numFmtId="0" fontId="0" fillId="5" borderId="20" xfId="0" applyFill="1" applyBorder="1"/>
    <xf numFmtId="0" fontId="0" fillId="5" borderId="21" xfId="0" applyFill="1" applyBorder="1"/>
    <xf numFmtId="0" fontId="0" fillId="5" borderId="22" xfId="0" applyFill="1" applyBorder="1"/>
    <xf numFmtId="0" fontId="0" fillId="5" borderId="17" xfId="0" applyFill="1" applyBorder="1"/>
    <xf numFmtId="0" fontId="0" fillId="5" borderId="18" xfId="0" applyFill="1" applyBorder="1"/>
    <xf numFmtId="0" fontId="0" fillId="5" borderId="19" xfId="0" applyFill="1" applyBorder="1"/>
    <xf numFmtId="165" fontId="0" fillId="5" borderId="20" xfId="1" applyNumberFormat="1" applyFont="1" applyFill="1" applyBorder="1"/>
    <xf numFmtId="165" fontId="0" fillId="5" borderId="17" xfId="1" applyNumberFormat="1" applyFont="1" applyFill="1" applyBorder="1"/>
    <xf numFmtId="0" fontId="0" fillId="5" borderId="11" xfId="0" applyFill="1" applyBorder="1"/>
    <xf numFmtId="0" fontId="0" fillId="5" borderId="24" xfId="0" applyFill="1" applyBorder="1"/>
    <xf numFmtId="0" fontId="0" fillId="0" borderId="0" xfId="0" applyAlignment="1">
      <alignment horizontal="right"/>
    </xf>
    <xf numFmtId="0" fontId="5" fillId="0" borderId="0" xfId="0" applyFont="1" applyAlignment="1">
      <alignment vertical="center"/>
    </xf>
    <xf numFmtId="0" fontId="0" fillId="0" borderId="9" xfId="0" applyBorder="1" applyAlignment="1">
      <alignment horizontal="center"/>
    </xf>
    <xf numFmtId="0" fontId="6" fillId="4" borderId="12" xfId="0" applyFont="1" applyFill="1" applyBorder="1"/>
    <xf numFmtId="0" fontId="7" fillId="4" borderId="13" xfId="0" applyFont="1" applyFill="1" applyBorder="1"/>
    <xf numFmtId="0" fontId="0" fillId="3" borderId="25" xfId="0" applyFill="1" applyBorder="1"/>
    <xf numFmtId="0" fontId="0" fillId="3" borderId="26" xfId="0" applyFill="1" applyBorder="1"/>
    <xf numFmtId="0" fontId="0" fillId="0" borderId="9" xfId="0" applyBorder="1"/>
    <xf numFmtId="0" fontId="0" fillId="3" borderId="9" xfId="0" applyFill="1" applyBorder="1"/>
    <xf numFmtId="0" fontId="8" fillId="0" borderId="12" xfId="0" applyFont="1" applyBorder="1"/>
    <xf numFmtId="0" fontId="10" fillId="0" borderId="0" xfId="4" applyFont="1"/>
    <xf numFmtId="0" fontId="0" fillId="0" borderId="0" xfId="0" applyAlignment="1">
      <alignment wrapText="1"/>
    </xf>
    <xf numFmtId="0" fontId="0" fillId="0" borderId="0" xfId="0" applyFill="1"/>
    <xf numFmtId="0" fontId="0" fillId="0" borderId="0" xfId="0" applyBorder="1" applyAlignment="1">
      <alignment horizontal="center"/>
    </xf>
    <xf numFmtId="0" fontId="0" fillId="0" borderId="0" xfId="0" applyBorder="1" applyAlignment="1">
      <alignment horizontal="left"/>
    </xf>
    <xf numFmtId="0" fontId="0" fillId="8" borderId="0" xfId="0" applyFill="1" applyBorder="1" applyAlignment="1"/>
    <xf numFmtId="0" fontId="0" fillId="7" borderId="0" xfId="0" applyFill="1" applyBorder="1" applyAlignment="1"/>
    <xf numFmtId="0" fontId="0" fillId="7" borderId="16" xfId="0" applyFill="1" applyBorder="1" applyAlignment="1"/>
    <xf numFmtId="9" fontId="8" fillId="6" borderId="13" xfId="0" applyNumberFormat="1" applyFont="1" applyFill="1" applyBorder="1" applyAlignment="1">
      <alignment horizontal="center"/>
    </xf>
    <xf numFmtId="0" fontId="8" fillId="6" borderId="13" xfId="0" applyFont="1" applyFill="1" applyBorder="1"/>
    <xf numFmtId="0" fontId="8" fillId="6" borderId="14" xfId="0" applyFont="1" applyFill="1" applyBorder="1"/>
    <xf numFmtId="0" fontId="0" fillId="8" borderId="16" xfId="0" applyFill="1" applyBorder="1" applyAlignment="1"/>
    <xf numFmtId="0" fontId="3" fillId="0" borderId="4" xfId="0" applyFont="1" applyBorder="1"/>
    <xf numFmtId="0" fontId="3" fillId="0" borderId="0" xfId="0" applyFont="1" applyBorder="1" applyAlignment="1">
      <alignment horizontal="center"/>
    </xf>
    <xf numFmtId="164" fontId="0" fillId="7" borderId="0" xfId="0" applyNumberFormat="1" applyFill="1" applyBorder="1" applyAlignment="1"/>
    <xf numFmtId="0" fontId="3" fillId="0" borderId="18" xfId="0" applyFont="1" applyBorder="1"/>
    <xf numFmtId="0" fontId="0" fillId="0" borderId="11" xfId="0" applyBorder="1"/>
    <xf numFmtId="0" fontId="2" fillId="2" borderId="1" xfId="3" applyAlignment="1">
      <alignment horizontal="left"/>
    </xf>
    <xf numFmtId="0" fontId="2" fillId="2" borderId="1" xfId="3" applyBorder="1"/>
    <xf numFmtId="0" fontId="2" fillId="2" borderId="1" xfId="3" applyBorder="1" applyAlignment="1">
      <alignment horizontal="left"/>
    </xf>
    <xf numFmtId="0" fontId="0" fillId="6" borderId="13" xfId="0" applyFill="1" applyBorder="1"/>
    <xf numFmtId="0" fontId="0" fillId="6" borderId="14" xfId="0" applyFill="1" applyBorder="1"/>
    <xf numFmtId="0" fontId="0" fillId="6" borderId="0" xfId="0" applyFill="1" applyBorder="1"/>
    <xf numFmtId="0" fontId="0" fillId="6" borderId="18" xfId="0" applyFill="1" applyBorder="1"/>
    <xf numFmtId="0" fontId="0" fillId="0" borderId="15" xfId="0" applyBorder="1" applyAlignment="1">
      <alignment horizontal="right"/>
    </xf>
    <xf numFmtId="0" fontId="3" fillId="0" borderId="15" xfId="0" applyFont="1" applyBorder="1" applyAlignment="1">
      <alignment horizontal="right"/>
    </xf>
    <xf numFmtId="0" fontId="0" fillId="0" borderId="17" xfId="0" applyBorder="1" applyAlignment="1">
      <alignment horizontal="right"/>
    </xf>
    <xf numFmtId="165" fontId="0" fillId="0" borderId="11" xfId="1" applyNumberFormat="1" applyFont="1" applyBorder="1"/>
    <xf numFmtId="0" fontId="0" fillId="0" borderId="24" xfId="0" applyBorder="1"/>
    <xf numFmtId="165" fontId="0" fillId="0" borderId="24" xfId="1" applyNumberFormat="1" applyFont="1" applyBorder="1"/>
    <xf numFmtId="0" fontId="0" fillId="0" borderId="27" xfId="0" applyBorder="1" applyAlignment="1">
      <alignment wrapText="1"/>
    </xf>
    <xf numFmtId="164" fontId="3" fillId="0" borderId="3" xfId="0" applyNumberFormat="1" applyFont="1" applyBorder="1" applyAlignment="1">
      <alignment horizontal="center"/>
    </xf>
    <xf numFmtId="0" fontId="3" fillId="0" borderId="2" xfId="0" applyFont="1" applyBorder="1" applyAlignment="1">
      <alignment horizontal="right"/>
    </xf>
    <xf numFmtId="2" fontId="3" fillId="0" borderId="3" xfId="0" applyNumberFormat="1" applyFont="1" applyBorder="1" applyAlignment="1">
      <alignment horizontal="center"/>
    </xf>
    <xf numFmtId="0" fontId="8" fillId="6" borderId="12" xfId="0" applyFont="1" applyFill="1" applyBorder="1" applyAlignment="1">
      <alignment horizontal="left"/>
    </xf>
    <xf numFmtId="0" fontId="3" fillId="0" borderId="28" xfId="0" applyFont="1" applyBorder="1" applyAlignment="1">
      <alignment horizontal="right"/>
    </xf>
    <xf numFmtId="164" fontId="0" fillId="8" borderId="0" xfId="0" applyNumberFormat="1" applyFill="1" applyBorder="1" applyAlignment="1"/>
    <xf numFmtId="1" fontId="0" fillId="8" borderId="0" xfId="0" applyNumberFormat="1" applyFill="1" applyBorder="1" applyAlignment="1"/>
    <xf numFmtId="1" fontId="0" fillId="7" borderId="0" xfId="0" applyNumberFormat="1" applyFill="1" applyBorder="1" applyAlignment="1"/>
    <xf numFmtId="1" fontId="3" fillId="0" borderId="3" xfId="0" applyNumberFormat="1" applyFont="1" applyBorder="1" applyAlignment="1">
      <alignment horizontal="center"/>
    </xf>
    <xf numFmtId="0" fontId="0" fillId="6" borderId="11" xfId="0" applyFill="1" applyBorder="1"/>
    <xf numFmtId="2" fontId="0" fillId="6" borderId="11" xfId="0" applyNumberFormat="1" applyFill="1" applyBorder="1"/>
    <xf numFmtId="9" fontId="0" fillId="6" borderId="11" xfId="0" applyNumberFormat="1" applyFill="1" applyBorder="1"/>
    <xf numFmtId="165" fontId="0" fillId="6" borderId="11" xfId="0" applyNumberFormat="1" applyFill="1" applyBorder="1"/>
    <xf numFmtId="0" fontId="2" fillId="2" borderId="1" xfId="3" applyAlignment="1">
      <alignment horizontal="center"/>
    </xf>
    <xf numFmtId="9" fontId="2" fillId="0" borderId="1" xfId="3" applyNumberFormat="1" applyFill="1" applyAlignment="1">
      <alignment horizontal="center"/>
    </xf>
    <xf numFmtId="0" fontId="2" fillId="0" borderId="1" xfId="3" applyFill="1" applyAlignment="1">
      <alignment horizontal="center"/>
    </xf>
    <xf numFmtId="0" fontId="0" fillId="0" borderId="0" xfId="0" applyFill="1" applyBorder="1" applyAlignment="1">
      <alignment horizontal="center"/>
    </xf>
    <xf numFmtId="9" fontId="2" fillId="0" borderId="0" xfId="3" applyNumberFormat="1" applyFill="1" applyBorder="1" applyAlignment="1">
      <alignment horizontal="center"/>
    </xf>
    <xf numFmtId="0" fontId="2" fillId="0" borderId="0" xfId="3" applyFill="1" applyBorder="1" applyAlignment="1">
      <alignment horizontal="center"/>
    </xf>
    <xf numFmtId="9" fontId="2" fillId="2" borderId="11" xfId="3" applyNumberFormat="1" applyBorder="1" applyAlignment="1">
      <alignment horizontal="center"/>
    </xf>
    <xf numFmtId="0" fontId="0" fillId="0" borderId="25" xfId="0" applyBorder="1" applyAlignment="1">
      <alignment horizontal="right"/>
    </xf>
    <xf numFmtId="0" fontId="0" fillId="0" borderId="26" xfId="0" applyBorder="1"/>
    <xf numFmtId="0" fontId="0" fillId="0" borderId="8" xfId="0" applyBorder="1" applyAlignment="1">
      <alignment horizontal="right"/>
    </xf>
    <xf numFmtId="0" fontId="0" fillId="0" borderId="0" xfId="0" applyFill="1" applyBorder="1" applyAlignment="1">
      <alignment horizontal="right"/>
    </xf>
    <xf numFmtId="0" fontId="2" fillId="2" borderId="1" xfId="3" applyBorder="1" applyAlignment="1">
      <alignment horizontal="center"/>
    </xf>
    <xf numFmtId="0" fontId="0" fillId="0" borderId="0" xfId="0" applyFont="1" applyBorder="1" applyAlignment="1">
      <alignment horizontal="center"/>
    </xf>
    <xf numFmtId="0" fontId="4" fillId="0" borderId="0" xfId="0" applyFont="1" applyBorder="1" applyAlignment="1">
      <alignment horizontal="right"/>
    </xf>
    <xf numFmtId="0" fontId="2" fillId="0" borderId="1" xfId="3" applyFill="1" applyAlignment="1">
      <alignment horizontal="left"/>
    </xf>
    <xf numFmtId="166" fontId="0" fillId="0" borderId="0" xfId="0" applyNumberFormat="1" applyAlignment="1">
      <alignment horizontal="center"/>
    </xf>
    <xf numFmtId="0" fontId="3" fillId="7" borderId="2" xfId="0" applyFont="1" applyFill="1" applyBorder="1" applyAlignment="1">
      <alignment horizontal="right"/>
    </xf>
    <xf numFmtId="0" fontId="3" fillId="7" borderId="4" xfId="0" applyFont="1" applyFill="1" applyBorder="1"/>
    <xf numFmtId="0" fontId="3" fillId="8" borderId="2" xfId="0" applyFont="1" applyFill="1" applyBorder="1" applyAlignment="1">
      <alignment horizontal="right"/>
    </xf>
    <xf numFmtId="165" fontId="14" fillId="8" borderId="3" xfId="1" applyNumberFormat="1" applyFont="1" applyFill="1" applyBorder="1" applyAlignment="1">
      <alignment horizontal="right" vertical="center"/>
    </xf>
    <xf numFmtId="0" fontId="3" fillId="8" borderId="4" xfId="0" applyFont="1" applyFill="1" applyBorder="1"/>
    <xf numFmtId="9" fontId="2" fillId="2" borderId="1" xfId="3" applyNumberFormat="1" applyBorder="1" applyAlignment="1">
      <alignment horizontal="center"/>
    </xf>
    <xf numFmtId="0" fontId="0" fillId="0" borderId="31" xfId="0" applyBorder="1" applyAlignment="1">
      <alignment horizontal="right" vertical="center"/>
    </xf>
    <xf numFmtId="0" fontId="0" fillId="0" borderId="33" xfId="0" applyBorder="1" applyAlignment="1">
      <alignment horizontal="right" vertical="center" wrapText="1"/>
    </xf>
    <xf numFmtId="0" fontId="3" fillId="4" borderId="30" xfId="0" applyFont="1" applyFill="1" applyBorder="1" applyAlignment="1">
      <alignment horizontal="right"/>
    </xf>
    <xf numFmtId="0" fontId="0" fillId="0" borderId="33" xfId="0" applyBorder="1" applyAlignment="1">
      <alignment horizontal="right" vertical="center"/>
    </xf>
    <xf numFmtId="0" fontId="0" fillId="0" borderId="15" xfId="0" applyFill="1" applyBorder="1" applyAlignment="1">
      <alignment horizontal="right"/>
    </xf>
    <xf numFmtId="1" fontId="0" fillId="0" borderId="0" xfId="0" applyNumberFormat="1" applyFill="1" applyBorder="1" applyAlignment="1">
      <alignment horizontal="right"/>
    </xf>
    <xf numFmtId="1" fontId="0" fillId="0" borderId="0" xfId="0" applyNumberFormat="1" applyFill="1" applyBorder="1"/>
    <xf numFmtId="0" fontId="0" fillId="0" borderId="16" xfId="0" applyFill="1" applyBorder="1"/>
    <xf numFmtId="164" fontId="3" fillId="7" borderId="3" xfId="0" applyNumberFormat="1" applyFont="1" applyFill="1" applyBorder="1" applyAlignment="1">
      <alignment horizontal="right"/>
    </xf>
    <xf numFmtId="0" fontId="3" fillId="0" borderId="0" xfId="0" applyFont="1" applyAlignment="1">
      <alignment horizontal="left" vertical="top"/>
    </xf>
    <xf numFmtId="0" fontId="2" fillId="0" borderId="1" xfId="3" applyFill="1"/>
    <xf numFmtId="0" fontId="0" fillId="0" borderId="0" xfId="0" quotePrefix="1"/>
    <xf numFmtId="44" fontId="0" fillId="0" borderId="11" xfId="0" applyNumberFormat="1" applyBorder="1"/>
    <xf numFmtId="0" fontId="0" fillId="0" borderId="11" xfId="0" applyFill="1" applyBorder="1" applyAlignment="1">
      <alignment horizontal="center"/>
    </xf>
    <xf numFmtId="0" fontId="3" fillId="4" borderId="11" xfId="0" applyFont="1" applyFill="1" applyBorder="1" applyAlignment="1">
      <alignment horizontal="right"/>
    </xf>
    <xf numFmtId="0" fontId="0" fillId="4" borderId="24" xfId="0" applyFill="1" applyBorder="1"/>
    <xf numFmtId="0" fontId="0" fillId="0" borderId="20" xfId="0" applyFill="1" applyBorder="1" applyAlignment="1">
      <alignment horizontal="left"/>
    </xf>
    <xf numFmtId="44" fontId="3" fillId="4" borderId="11" xfId="0" applyNumberFormat="1" applyFont="1" applyFill="1" applyBorder="1"/>
    <xf numFmtId="1" fontId="0" fillId="0" borderId="25" xfId="0" applyNumberFormat="1" applyBorder="1" applyAlignment="1">
      <alignment horizontal="right" vertical="center" wrapText="1"/>
    </xf>
    <xf numFmtId="0" fontId="0" fillId="0" borderId="44" xfId="0" applyBorder="1" applyAlignment="1">
      <alignment vertical="center"/>
    </xf>
    <xf numFmtId="0" fontId="13" fillId="0" borderId="44" xfId="0" quotePrefix="1" applyFont="1" applyBorder="1" applyAlignment="1">
      <alignment vertical="center" wrapText="1"/>
    </xf>
    <xf numFmtId="0" fontId="0" fillId="0" borderId="38" xfId="0" applyBorder="1" applyAlignment="1">
      <alignment vertical="center" wrapText="1"/>
    </xf>
    <xf numFmtId="0" fontId="0" fillId="0" borderId="45" xfId="0" applyBorder="1" applyAlignment="1">
      <alignment horizontal="right" vertical="center" wrapText="1"/>
    </xf>
    <xf numFmtId="0" fontId="0" fillId="0" borderId="44" xfId="0" applyBorder="1" applyAlignment="1">
      <alignment horizontal="left" vertical="center"/>
    </xf>
    <xf numFmtId="0" fontId="13" fillId="0" borderId="44" xfId="0" quotePrefix="1" applyFont="1" applyBorder="1" applyAlignment="1">
      <alignment horizontal="center" vertical="center" wrapText="1"/>
    </xf>
    <xf numFmtId="0" fontId="0" fillId="0" borderId="38" xfId="0" applyBorder="1" applyAlignment="1">
      <alignment horizontal="center" vertical="center" wrapText="1"/>
    </xf>
    <xf numFmtId="0" fontId="0" fillId="0" borderId="44" xfId="0" applyBorder="1" applyAlignment="1">
      <alignment horizontal="center" vertical="center"/>
    </xf>
    <xf numFmtId="1" fontId="0" fillId="0" borderId="46" xfId="0" applyNumberFormat="1" applyBorder="1" applyAlignment="1">
      <alignment horizontal="right" vertical="center" wrapText="1"/>
    </xf>
    <xf numFmtId="0" fontId="0" fillId="0" borderId="38" xfId="0" applyBorder="1" applyAlignment="1">
      <alignment horizontal="left" vertical="center" wrapText="1"/>
    </xf>
    <xf numFmtId="164" fontId="0" fillId="0" borderId="45" xfId="0" applyNumberFormat="1" applyBorder="1" applyAlignment="1">
      <alignment vertical="center"/>
    </xf>
    <xf numFmtId="164" fontId="0" fillId="0" borderId="46" xfId="0" applyNumberFormat="1" applyBorder="1" applyAlignment="1">
      <alignment vertical="center"/>
    </xf>
    <xf numFmtId="0" fontId="0" fillId="0" borderId="38" xfId="0" applyBorder="1" applyAlignment="1">
      <alignment vertical="center"/>
    </xf>
    <xf numFmtId="0" fontId="0" fillId="0" borderId="38" xfId="0" applyBorder="1" applyAlignment="1">
      <alignment horizontal="left" vertical="center"/>
    </xf>
    <xf numFmtId="1" fontId="0" fillId="0" borderId="45" xfId="0" applyNumberFormat="1" applyBorder="1" applyAlignment="1">
      <alignment horizontal="right" vertical="center" wrapText="1"/>
    </xf>
    <xf numFmtId="0" fontId="3" fillId="4" borderId="23" xfId="0" applyFont="1" applyFill="1" applyBorder="1" applyAlignment="1">
      <alignment horizontal="center"/>
    </xf>
    <xf numFmtId="0" fontId="0" fillId="7" borderId="0" xfId="0" applyFill="1" applyBorder="1" applyAlignment="1">
      <alignment horizontal="center" vertical="center" wrapText="1"/>
    </xf>
    <xf numFmtId="0" fontId="3" fillId="0" borderId="0" xfId="0" applyFont="1" applyBorder="1" applyAlignment="1">
      <alignment horizontal="left" wrapText="1"/>
    </xf>
    <xf numFmtId="0" fontId="3" fillId="0" borderId="18" xfId="0" applyFont="1" applyBorder="1" applyAlignment="1">
      <alignment horizontal="left" wrapText="1"/>
    </xf>
    <xf numFmtId="0" fontId="3" fillId="0" borderId="0" xfId="0" applyFont="1" applyBorder="1" applyAlignment="1">
      <alignment horizontal="left" vertical="center" wrapText="1"/>
    </xf>
    <xf numFmtId="43" fontId="0" fillId="0" borderId="0" xfId="0" applyNumberFormat="1" applyFill="1" applyBorder="1" applyAlignment="1">
      <alignment horizontal="left" vertical="center"/>
    </xf>
    <xf numFmtId="0" fontId="0" fillId="6" borderId="11" xfId="0" applyFill="1" applyBorder="1" applyAlignment="1">
      <alignment wrapText="1"/>
    </xf>
    <xf numFmtId="0" fontId="3" fillId="0" borderId="47" xfId="0" applyFont="1" applyBorder="1"/>
    <xf numFmtId="0" fontId="15" fillId="6" borderId="11" xfId="0" applyFont="1" applyFill="1" applyBorder="1"/>
    <xf numFmtId="164" fontId="3" fillId="8" borderId="3" xfId="0" applyNumberFormat="1" applyFont="1" applyFill="1" applyBorder="1" applyAlignment="1">
      <alignment horizontal="right"/>
    </xf>
    <xf numFmtId="164" fontId="0" fillId="0" borderId="45" xfId="0" applyNumberFormat="1" applyBorder="1" applyAlignment="1">
      <alignment horizontal="right" vertical="center"/>
    </xf>
    <xf numFmtId="164" fontId="0" fillId="0" borderId="46" xfId="0" applyNumberFormat="1" applyBorder="1" applyAlignment="1">
      <alignment horizontal="right" vertical="center"/>
    </xf>
    <xf numFmtId="0" fontId="2" fillId="2" borderId="11" xfId="3" applyBorder="1" applyAlignment="1">
      <alignment horizontal="center"/>
    </xf>
    <xf numFmtId="3" fontId="14" fillId="7" borderId="3" xfId="0" applyNumberFormat="1" applyFont="1" applyFill="1" applyBorder="1" applyAlignment="1">
      <alignment horizontal="right" vertical="center"/>
    </xf>
    <xf numFmtId="0" fontId="0" fillId="7" borderId="15" xfId="0" applyFill="1" applyBorder="1" applyAlignment="1">
      <alignment horizontal="right"/>
    </xf>
    <xf numFmtId="164" fontId="0" fillId="7" borderId="0" xfId="0" applyNumberFormat="1" applyFill="1" applyBorder="1" applyAlignment="1">
      <alignment horizontal="right"/>
    </xf>
    <xf numFmtId="0" fontId="0" fillId="7" borderId="0" xfId="0" applyFill="1" applyBorder="1"/>
    <xf numFmtId="164" fontId="0" fillId="8" borderId="0" xfId="0" applyNumberFormat="1" applyFont="1" applyFill="1" applyBorder="1" applyAlignment="1">
      <alignment horizontal="right"/>
    </xf>
    <xf numFmtId="0" fontId="0" fillId="8" borderId="0" xfId="0" applyFont="1" applyFill="1" applyBorder="1"/>
    <xf numFmtId="0" fontId="0" fillId="0" borderId="11" xfId="0" applyFill="1" applyBorder="1"/>
    <xf numFmtId="0" fontId="0" fillId="6" borderId="50" xfId="0" applyFont="1" applyFill="1" applyBorder="1"/>
    <xf numFmtId="3" fontId="0" fillId="3" borderId="6" xfId="0" applyNumberFormat="1" applyFill="1" applyBorder="1"/>
    <xf numFmtId="0" fontId="0" fillId="3" borderId="0" xfId="0" applyFill="1" applyBorder="1"/>
    <xf numFmtId="167" fontId="0" fillId="3" borderId="0" xfId="0" applyNumberFormat="1" applyFill="1" applyBorder="1"/>
    <xf numFmtId="43" fontId="0" fillId="0" borderId="11" xfId="1" applyNumberFormat="1" applyFont="1" applyBorder="1" applyAlignment="1">
      <alignment horizontal="center" vertical="center"/>
    </xf>
    <xf numFmtId="0" fontId="16" fillId="4" borderId="0" xfId="0" applyFont="1" applyFill="1" applyBorder="1" applyAlignment="1">
      <alignment horizontal="center" vertical="center"/>
    </xf>
    <xf numFmtId="0" fontId="0" fillId="0" borderId="11" xfId="0" applyBorder="1" applyAlignment="1">
      <alignment wrapText="1"/>
    </xf>
    <xf numFmtId="164" fontId="0" fillId="0" borderId="45" xfId="0" applyNumberFormat="1" applyBorder="1" applyAlignment="1">
      <alignment horizontal="right" vertical="center" wrapText="1"/>
    </xf>
    <xf numFmtId="2" fontId="0" fillId="0" borderId="11" xfId="0" applyNumberFormat="1" applyBorder="1"/>
    <xf numFmtId="43" fontId="0" fillId="0" borderId="0" xfId="0" applyNumberFormat="1"/>
    <xf numFmtId="164" fontId="0" fillId="0" borderId="0" xfId="0" applyNumberFormat="1" applyFill="1" applyBorder="1" applyAlignment="1"/>
    <xf numFmtId="0" fontId="0" fillId="0" borderId="0" xfId="0" applyFill="1" applyBorder="1" applyAlignment="1"/>
    <xf numFmtId="1" fontId="0" fillId="0" borderId="0" xfId="0" applyNumberFormat="1" applyFill="1" applyBorder="1" applyAlignment="1"/>
    <xf numFmtId="0" fontId="0" fillId="0" borderId="16" xfId="0" applyFill="1" applyBorder="1" applyAlignment="1"/>
    <xf numFmtId="164" fontId="0" fillId="0" borderId="0" xfId="0" applyNumberFormat="1" applyBorder="1" applyAlignment="1">
      <alignment horizontal="center"/>
    </xf>
    <xf numFmtId="1" fontId="0" fillId="0" borderId="0" xfId="0" applyNumberFormat="1" applyBorder="1" applyAlignment="1">
      <alignment horizontal="center"/>
    </xf>
    <xf numFmtId="0" fontId="0" fillId="0" borderId="0" xfId="0" applyBorder="1" applyAlignment="1">
      <alignment horizontal="right"/>
    </xf>
    <xf numFmtId="0" fontId="8" fillId="0" borderId="25" xfId="0" applyFont="1" applyBorder="1" applyAlignment="1">
      <alignment horizontal="center" vertical="center"/>
    </xf>
    <xf numFmtId="0" fontId="8" fillId="0" borderId="0" xfId="0" applyFont="1" applyBorder="1" applyAlignment="1">
      <alignment horizontal="center" vertical="center"/>
    </xf>
    <xf numFmtId="0" fontId="8" fillId="0" borderId="26" xfId="0" applyFont="1" applyBorder="1" applyAlignment="1">
      <alignment horizontal="center" vertical="center"/>
    </xf>
    <xf numFmtId="0" fontId="8" fillId="0" borderId="7" xfId="0" applyFont="1" applyBorder="1" applyAlignment="1">
      <alignment vertical="center"/>
    </xf>
    <xf numFmtId="165" fontId="2" fillId="12" borderId="11" xfId="1" applyNumberFormat="1" applyFont="1" applyFill="1" applyBorder="1"/>
    <xf numFmtId="0" fontId="0" fillId="0" borderId="0" xfId="0" applyFill="1" applyBorder="1" applyAlignment="1">
      <alignment horizontal="center" wrapText="1"/>
    </xf>
    <xf numFmtId="0" fontId="0" fillId="12" borderId="24" xfId="0" applyFill="1" applyBorder="1"/>
    <xf numFmtId="0" fontId="3" fillId="0" borderId="0" xfId="0" applyFont="1" applyBorder="1" applyAlignment="1">
      <alignment horizontal="left" wrapText="1"/>
    </xf>
    <xf numFmtId="0" fontId="3" fillId="0" borderId="18" xfId="0" applyFont="1" applyBorder="1" applyAlignment="1">
      <alignment horizontal="left" wrapText="1"/>
    </xf>
    <xf numFmtId="0" fontId="0" fillId="7" borderId="0" xfId="0" applyFill="1" applyBorder="1" applyAlignment="1">
      <alignment horizontal="center" vertical="center" wrapText="1"/>
    </xf>
    <xf numFmtId="0" fontId="3" fillId="0" borderId="0" xfId="0" applyFont="1" applyBorder="1" applyAlignment="1">
      <alignment horizontal="left" vertical="center" wrapText="1"/>
    </xf>
    <xf numFmtId="0" fontId="3" fillId="4" borderId="23" xfId="0" applyFont="1" applyFill="1" applyBorder="1" applyAlignment="1">
      <alignment horizontal="center"/>
    </xf>
    <xf numFmtId="0" fontId="3" fillId="4" borderId="41" xfId="0" applyFont="1" applyFill="1" applyBorder="1" applyAlignment="1">
      <alignment vertical="center"/>
    </xf>
    <xf numFmtId="0" fontId="3" fillId="4" borderId="29" xfId="0" applyFont="1" applyFill="1" applyBorder="1" applyAlignment="1">
      <alignment vertical="center"/>
    </xf>
    <xf numFmtId="0" fontId="3" fillId="4" borderId="35" xfId="0" applyFont="1" applyFill="1" applyBorder="1" applyAlignment="1"/>
    <xf numFmtId="0" fontId="3" fillId="4" borderId="36" xfId="0" applyFont="1" applyFill="1" applyBorder="1" applyAlignment="1"/>
    <xf numFmtId="0" fontId="3" fillId="11" borderId="2" xfId="0" applyFont="1" applyFill="1" applyBorder="1" applyAlignment="1"/>
    <xf numFmtId="0" fontId="3" fillId="11" borderId="3" xfId="0" applyFont="1" applyFill="1" applyBorder="1" applyAlignment="1"/>
    <xf numFmtId="0" fontId="3" fillId="11" borderId="4" xfId="0" applyFont="1" applyFill="1" applyBorder="1" applyAlignment="1"/>
    <xf numFmtId="0" fontId="3" fillId="4" borderId="42" xfId="0" applyFont="1" applyFill="1" applyBorder="1" applyAlignment="1">
      <alignment vertical="center"/>
    </xf>
    <xf numFmtId="0" fontId="3" fillId="4" borderId="43" xfId="0" applyFont="1" applyFill="1" applyBorder="1" applyAlignment="1">
      <alignment vertical="center"/>
    </xf>
    <xf numFmtId="0" fontId="0" fillId="0" borderId="0" xfId="0" applyFill="1" applyBorder="1" applyAlignment="1">
      <alignment horizontal="center" vertical="center" wrapText="1"/>
    </xf>
    <xf numFmtId="0" fontId="3" fillId="0" borderId="0" xfId="0" applyFont="1" applyFill="1" applyBorder="1" applyAlignment="1">
      <alignment horizontal="center"/>
    </xf>
    <xf numFmtId="165" fontId="0" fillId="0" borderId="45" xfId="1" applyNumberFormat="1" applyFont="1" applyBorder="1" applyAlignment="1">
      <alignment horizontal="right" vertical="center" wrapText="1"/>
    </xf>
    <xf numFmtId="165" fontId="0" fillId="0" borderId="25" xfId="0" applyNumberFormat="1" applyBorder="1" applyAlignment="1">
      <alignment horizontal="right" vertical="center" wrapText="1"/>
    </xf>
    <xf numFmtId="0" fontId="0" fillId="0" borderId="46" xfId="0" applyBorder="1" applyAlignment="1">
      <alignment horizontal="right" vertical="center" wrapText="1"/>
    </xf>
    <xf numFmtId="0" fontId="3" fillId="0" borderId="0" xfId="0" applyFont="1" applyBorder="1" applyAlignment="1">
      <alignment vertical="center"/>
    </xf>
    <xf numFmtId="0" fontId="3" fillId="0" borderId="0" xfId="0" applyFont="1" applyBorder="1" applyAlignment="1">
      <alignment vertical="center" wrapText="1"/>
    </xf>
    <xf numFmtId="0" fontId="0" fillId="0" borderId="16" xfId="0" applyFill="1" applyBorder="1" applyAlignment="1">
      <alignment horizontal="center" vertical="center" wrapText="1"/>
    </xf>
    <xf numFmtId="0" fontId="3" fillId="0" borderId="16" xfId="0" applyFont="1" applyFill="1" applyBorder="1" applyAlignment="1">
      <alignment horizontal="center"/>
    </xf>
    <xf numFmtId="0" fontId="3" fillId="0" borderId="52" xfId="0" applyFont="1" applyFill="1" applyBorder="1" applyAlignment="1">
      <alignment horizontal="right"/>
    </xf>
    <xf numFmtId="164" fontId="3" fillId="0" borderId="53" xfId="0" applyNumberFormat="1" applyFont="1" applyFill="1" applyBorder="1" applyAlignment="1">
      <alignment horizontal="right"/>
    </xf>
    <xf numFmtId="0" fontId="3" fillId="0" borderId="53" xfId="0" applyFont="1" applyFill="1" applyBorder="1"/>
    <xf numFmtId="0" fontId="0" fillId="0" borderId="18" xfId="0" applyFill="1" applyBorder="1"/>
    <xf numFmtId="0" fontId="0" fillId="0" borderId="19" xfId="0" applyFill="1" applyBorder="1"/>
    <xf numFmtId="164" fontId="0" fillId="7" borderId="20" xfId="0" applyNumberFormat="1" applyFill="1" applyBorder="1" applyAlignment="1"/>
    <xf numFmtId="0" fontId="0" fillId="7" borderId="22" xfId="0" applyFill="1" applyBorder="1" applyAlignment="1"/>
    <xf numFmtId="0" fontId="0" fillId="8" borderId="20" xfId="0" applyFill="1" applyBorder="1" applyAlignment="1">
      <alignment horizontal="right"/>
    </xf>
    <xf numFmtId="0" fontId="0" fillId="8" borderId="22" xfId="0" applyFill="1" applyBorder="1"/>
    <xf numFmtId="2" fontId="0" fillId="7" borderId="20" xfId="0" applyNumberFormat="1" applyFill="1" applyBorder="1" applyAlignment="1"/>
    <xf numFmtId="2" fontId="0" fillId="8" borderId="20" xfId="0" applyNumberFormat="1" applyFill="1" applyBorder="1" applyAlignment="1">
      <alignment horizontal="right"/>
    </xf>
    <xf numFmtId="1" fontId="0" fillId="7" borderId="20" xfId="0" applyNumberFormat="1" applyFill="1" applyBorder="1" applyAlignment="1"/>
    <xf numFmtId="1" fontId="0" fillId="8" borderId="20" xfId="0" applyNumberFormat="1" applyFill="1" applyBorder="1"/>
    <xf numFmtId="2" fontId="0" fillId="8" borderId="20" xfId="0" applyNumberFormat="1" applyFill="1" applyBorder="1"/>
    <xf numFmtId="0" fontId="3" fillId="4" borderId="30" xfId="0" applyFont="1" applyFill="1" applyBorder="1" applyAlignment="1">
      <alignment horizontal="right" vertical="center"/>
    </xf>
    <xf numFmtId="165" fontId="0" fillId="0" borderId="25" xfId="1" applyNumberFormat="1" applyFont="1" applyBorder="1" applyAlignment="1">
      <alignment horizontal="right" vertical="center" wrapText="1"/>
    </xf>
    <xf numFmtId="0" fontId="3" fillId="7" borderId="28" xfId="0" applyFont="1" applyFill="1" applyBorder="1" applyAlignment="1">
      <alignment horizontal="right"/>
    </xf>
    <xf numFmtId="0" fontId="0" fillId="8" borderId="0" xfId="0" applyFont="1" applyFill="1" applyBorder="1" applyAlignment="1">
      <alignment horizontal="right"/>
    </xf>
    <xf numFmtId="0" fontId="3" fillId="8" borderId="28" xfId="0" applyFont="1" applyFill="1" applyBorder="1" applyAlignment="1">
      <alignment horizontal="right"/>
    </xf>
    <xf numFmtId="0" fontId="8" fillId="0" borderId="0" xfId="0" applyFont="1" applyFill="1" applyBorder="1"/>
    <xf numFmtId="0" fontId="3" fillId="4" borderId="31" xfId="0" applyFont="1" applyFill="1" applyBorder="1" applyAlignment="1">
      <alignment horizontal="right"/>
    </xf>
    <xf numFmtId="0" fontId="3" fillId="4" borderId="35" xfId="0" applyFont="1" applyFill="1" applyBorder="1" applyAlignment="1">
      <alignment horizontal="right"/>
    </xf>
    <xf numFmtId="0" fontId="3" fillId="0" borderId="0" xfId="0" applyFont="1" applyBorder="1" applyAlignment="1">
      <alignment wrapText="1"/>
    </xf>
    <xf numFmtId="0" fontId="0" fillId="0" borderId="0" xfId="0" quotePrefix="1" applyBorder="1"/>
    <xf numFmtId="0" fontId="3" fillId="0" borderId="0" xfId="0" applyFont="1" applyBorder="1" applyAlignment="1">
      <alignment horizontal="right"/>
    </xf>
    <xf numFmtId="164" fontId="3" fillId="0" borderId="0" xfId="0" applyNumberFormat="1" applyFont="1" applyBorder="1" applyAlignment="1">
      <alignment horizontal="center"/>
    </xf>
    <xf numFmtId="0" fontId="3" fillId="0" borderId="0" xfId="0" applyFont="1" applyBorder="1"/>
    <xf numFmtId="0" fontId="0" fillId="3" borderId="15" xfId="0" applyFill="1" applyBorder="1" applyAlignment="1">
      <alignment horizontal="right"/>
    </xf>
    <xf numFmtId="0" fontId="2" fillId="3" borderId="1" xfId="3" applyFill="1" applyAlignment="1">
      <alignment horizontal="center"/>
    </xf>
    <xf numFmtId="0" fontId="3" fillId="3" borderId="0" xfId="0" quotePrefix="1" applyFont="1" applyFill="1" applyBorder="1"/>
    <xf numFmtId="0" fontId="0" fillId="0" borderId="12" xfId="0" applyBorder="1" applyAlignment="1">
      <alignment horizontal="left" vertical="center" wrapText="1"/>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0"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6" fillId="4" borderId="12" xfId="0" applyFont="1" applyFill="1" applyBorder="1" applyAlignment="1">
      <alignment horizontal="center"/>
    </xf>
    <xf numFmtId="0" fontId="6" fillId="4" borderId="14" xfId="0" applyFont="1" applyFill="1" applyBorder="1" applyAlignment="1">
      <alignment horizontal="center"/>
    </xf>
    <xf numFmtId="0" fontId="0" fillId="5" borderId="20" xfId="0" applyFill="1" applyBorder="1" applyAlignment="1">
      <alignment horizontal="center"/>
    </xf>
    <xf numFmtId="0" fontId="0" fillId="5" borderId="22" xfId="0" applyFill="1" applyBorder="1" applyAlignment="1">
      <alignment horizontal="center"/>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3" fillId="4" borderId="20" xfId="0" applyFont="1" applyFill="1" applyBorder="1" applyAlignment="1">
      <alignment horizontal="center"/>
    </xf>
    <xf numFmtId="0" fontId="3" fillId="4" borderId="22" xfId="0" applyFont="1" applyFill="1" applyBorder="1" applyAlignment="1">
      <alignment horizont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0" fillId="8" borderId="2" xfId="0" applyFill="1" applyBorder="1" applyAlignment="1">
      <alignment horizontal="center"/>
    </xf>
    <xf numFmtId="0" fontId="0" fillId="8" borderId="4" xfId="0" applyFill="1" applyBorder="1" applyAlignment="1">
      <alignment horizontal="center"/>
    </xf>
    <xf numFmtId="0" fontId="0" fillId="7" borderId="2" xfId="0" applyFill="1" applyBorder="1" applyAlignment="1">
      <alignment horizontal="center"/>
    </xf>
    <xf numFmtId="0" fontId="0" fillId="7" borderId="4" xfId="0" applyFill="1" applyBorder="1" applyAlignment="1">
      <alignment horizontal="center"/>
    </xf>
    <xf numFmtId="0" fontId="3" fillId="6" borderId="11" xfId="0" applyFont="1" applyFill="1" applyBorder="1" applyAlignment="1">
      <alignment horizontal="center"/>
    </xf>
    <xf numFmtId="0" fontId="0" fillId="6" borderId="20" xfId="0" applyFill="1" applyBorder="1" applyAlignment="1">
      <alignment horizontal="center"/>
    </xf>
    <xf numFmtId="0" fontId="0" fillId="6" borderId="22" xfId="0" applyFill="1" applyBorder="1" applyAlignment="1">
      <alignment horizontal="center"/>
    </xf>
    <xf numFmtId="0" fontId="0" fillId="7" borderId="0" xfId="0" applyFill="1" applyBorder="1" applyAlignment="1">
      <alignment horizontal="center" wrapText="1"/>
    </xf>
    <xf numFmtId="0" fontId="11" fillId="0" borderId="0" xfId="0" applyFont="1" applyBorder="1" applyAlignment="1">
      <alignment horizontal="center" vertical="center" wrapText="1"/>
    </xf>
    <xf numFmtId="0" fontId="0" fillId="7" borderId="0" xfId="0" applyFill="1" applyBorder="1" applyAlignment="1">
      <alignment horizontal="center" vertical="center" wrapText="1"/>
    </xf>
    <xf numFmtId="0" fontId="0" fillId="7" borderId="16" xfId="0" applyFill="1" applyBorder="1" applyAlignment="1">
      <alignment horizontal="center" vertical="center" wrapText="1"/>
    </xf>
    <xf numFmtId="0" fontId="3" fillId="0" borderId="15" xfId="0" applyFont="1" applyBorder="1" applyAlignment="1">
      <alignment horizontal="right" vertical="center"/>
    </xf>
    <xf numFmtId="0" fontId="3" fillId="0" borderId="17" xfId="0" applyFont="1" applyBorder="1" applyAlignment="1">
      <alignment horizontal="right" vertical="center"/>
    </xf>
    <xf numFmtId="0" fontId="3" fillId="0" borderId="0" xfId="0" applyFont="1" applyBorder="1" applyAlignment="1">
      <alignment horizontal="left" wrapText="1"/>
    </xf>
    <xf numFmtId="0" fontId="3" fillId="0" borderId="18" xfId="0" applyFont="1" applyBorder="1" applyAlignment="1">
      <alignment horizontal="left" wrapText="1"/>
    </xf>
    <xf numFmtId="0" fontId="0" fillId="0" borderId="15" xfId="0" applyBorder="1" applyAlignment="1">
      <alignment horizontal="right" vertical="center"/>
    </xf>
    <xf numFmtId="0" fontId="0" fillId="8" borderId="0" xfId="0" applyFill="1" applyBorder="1" applyAlignment="1">
      <alignment horizontal="center" vertical="top" wrapText="1"/>
    </xf>
    <xf numFmtId="0" fontId="11"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0" fillId="7" borderId="0" xfId="0" applyFill="1" applyBorder="1" applyAlignment="1">
      <alignment horizontal="center" vertical="top" wrapText="1"/>
    </xf>
    <xf numFmtId="0" fontId="0" fillId="8" borderId="0" xfId="0" applyFill="1" applyBorder="1" applyAlignment="1">
      <alignment horizontal="center" vertical="center" wrapText="1"/>
    </xf>
    <xf numFmtId="0" fontId="0" fillId="8" borderId="0" xfId="0" applyFill="1" applyBorder="1" applyAlignment="1">
      <alignment horizontal="center" wrapText="1"/>
    </xf>
    <xf numFmtId="0" fontId="0" fillId="8" borderId="16" xfId="0" applyFill="1" applyBorder="1" applyAlignment="1">
      <alignment horizontal="center" vertical="center" wrapText="1"/>
    </xf>
    <xf numFmtId="0" fontId="3" fillId="0" borderId="48" xfId="0" applyFont="1" applyBorder="1" applyAlignment="1">
      <alignment horizontal="right" vertical="center"/>
    </xf>
    <xf numFmtId="0" fontId="3" fillId="0" borderId="49" xfId="0" applyFont="1" applyBorder="1" applyAlignment="1">
      <alignment horizontal="right" vertical="center"/>
    </xf>
    <xf numFmtId="0" fontId="3" fillId="0" borderId="0" xfId="0" applyFont="1" applyBorder="1" applyAlignment="1">
      <alignment horizontal="left" vertical="center"/>
    </xf>
    <xf numFmtId="0" fontId="3" fillId="0" borderId="16" xfId="0" applyFont="1" applyBorder="1" applyAlignment="1">
      <alignment horizontal="left" vertical="center"/>
    </xf>
    <xf numFmtId="44" fontId="0" fillId="0" borderId="11" xfId="2" applyFont="1" applyBorder="1" applyAlignment="1">
      <alignment horizontal="center"/>
    </xf>
    <xf numFmtId="0" fontId="3" fillId="0" borderId="16" xfId="0" applyFont="1" applyBorder="1" applyAlignment="1">
      <alignment horizontal="left" wrapText="1"/>
    </xf>
    <xf numFmtId="0" fontId="3" fillId="0" borderId="19" xfId="0" applyFont="1" applyBorder="1" applyAlignment="1">
      <alignment horizontal="left" wrapText="1"/>
    </xf>
    <xf numFmtId="0" fontId="0" fillId="4" borderId="11" xfId="0" applyFill="1" applyBorder="1" applyAlignment="1">
      <alignment horizontal="center"/>
    </xf>
    <xf numFmtId="0" fontId="3" fillId="4" borderId="23" xfId="0" applyFont="1" applyFill="1" applyBorder="1" applyAlignment="1">
      <alignment horizontal="center"/>
    </xf>
    <xf numFmtId="0" fontId="16" fillId="4" borderId="11" xfId="0" applyFont="1" applyFill="1" applyBorder="1" applyAlignment="1">
      <alignment horizontal="center" vertical="center"/>
    </xf>
    <xf numFmtId="0" fontId="16" fillId="4" borderId="20" xfId="0" applyFont="1" applyFill="1" applyBorder="1" applyAlignment="1">
      <alignment horizontal="center" vertical="center"/>
    </xf>
    <xf numFmtId="0" fontId="3" fillId="4" borderId="24" xfId="0" applyFont="1" applyFill="1" applyBorder="1" applyAlignment="1">
      <alignment horizontal="center"/>
    </xf>
    <xf numFmtId="44" fontId="15" fillId="4" borderId="24" xfId="0" applyNumberFormat="1" applyFont="1" applyFill="1" applyBorder="1" applyAlignment="1">
      <alignment horizontal="center"/>
    </xf>
    <xf numFmtId="0" fontId="15" fillId="4" borderId="24" xfId="0" applyFont="1" applyFill="1" applyBorder="1" applyAlignment="1">
      <alignment horizontal="center"/>
    </xf>
    <xf numFmtId="0" fontId="0" fillId="4" borderId="12" xfId="0" applyFill="1" applyBorder="1" applyAlignment="1">
      <alignment horizontal="center"/>
    </xf>
    <xf numFmtId="0" fontId="0" fillId="4" borderId="14" xfId="0" applyFill="1" applyBorder="1" applyAlignment="1">
      <alignment horizontal="center"/>
    </xf>
    <xf numFmtId="0" fontId="3" fillId="9" borderId="39" xfId="0" applyFont="1" applyFill="1" applyBorder="1" applyAlignment="1">
      <alignment horizontal="center"/>
    </xf>
    <xf numFmtId="0" fontId="3" fillId="9" borderId="40" xfId="0" applyFont="1" applyFill="1" applyBorder="1" applyAlignment="1">
      <alignment horizontal="center"/>
    </xf>
    <xf numFmtId="44" fontId="15" fillId="9" borderId="28" xfId="0" applyNumberFormat="1" applyFont="1" applyFill="1" applyBorder="1" applyAlignment="1">
      <alignment horizontal="center"/>
    </xf>
    <xf numFmtId="0" fontId="15" fillId="9" borderId="4" xfId="0" applyFont="1" applyFill="1" applyBorder="1" applyAlignment="1">
      <alignment horizontal="center"/>
    </xf>
    <xf numFmtId="0" fontId="0" fillId="7" borderId="12" xfId="0" applyFill="1" applyBorder="1" applyAlignment="1">
      <alignment horizontal="center" vertical="top" wrapText="1"/>
    </xf>
    <xf numFmtId="0" fontId="0" fillId="7" borderId="14" xfId="0" applyFill="1" applyBorder="1" applyAlignment="1">
      <alignment horizontal="center" vertical="top" wrapText="1"/>
    </xf>
    <xf numFmtId="0" fontId="0" fillId="7" borderId="17" xfId="0" applyFill="1" applyBorder="1" applyAlignment="1">
      <alignment horizontal="center" vertical="top" wrapText="1"/>
    </xf>
    <xf numFmtId="0" fontId="0" fillId="7" borderId="19" xfId="0" applyFill="1" applyBorder="1" applyAlignment="1">
      <alignment horizontal="center" vertical="top" wrapText="1"/>
    </xf>
    <xf numFmtId="0" fontId="0" fillId="7" borderId="12" xfId="0" applyFill="1" applyBorder="1" applyAlignment="1">
      <alignment horizontal="center" vertical="center" wrapText="1"/>
    </xf>
    <xf numFmtId="0" fontId="0" fillId="7" borderId="14" xfId="0" applyFill="1" applyBorder="1" applyAlignment="1">
      <alignment horizontal="center" vertical="center" wrapText="1"/>
    </xf>
    <xf numFmtId="0" fontId="0" fillId="7" borderId="17" xfId="0" applyFill="1" applyBorder="1" applyAlignment="1">
      <alignment horizontal="center" vertical="center" wrapText="1"/>
    </xf>
    <xf numFmtId="0" fontId="0" fillId="7" borderId="19" xfId="0" applyFill="1" applyBorder="1" applyAlignment="1">
      <alignment horizontal="center" vertical="center" wrapText="1"/>
    </xf>
    <xf numFmtId="0" fontId="3" fillId="0" borderId="0" xfId="0" applyFont="1" applyBorder="1" applyAlignment="1">
      <alignment horizontal="center"/>
    </xf>
    <xf numFmtId="0" fontId="0" fillId="7" borderId="12" xfId="0" applyFill="1" applyBorder="1" applyAlignment="1">
      <alignment horizontal="center" wrapText="1"/>
    </xf>
    <xf numFmtId="0" fontId="0" fillId="7" borderId="14" xfId="0" applyFill="1" applyBorder="1" applyAlignment="1">
      <alignment horizontal="center" wrapText="1"/>
    </xf>
    <xf numFmtId="0" fontId="0" fillId="7" borderId="17" xfId="0" applyFill="1" applyBorder="1" applyAlignment="1">
      <alignment horizontal="center" wrapText="1"/>
    </xf>
    <xf numFmtId="0" fontId="0" fillId="7" borderId="19" xfId="0" applyFill="1" applyBorder="1" applyAlignment="1">
      <alignment horizontal="center" wrapText="1"/>
    </xf>
    <xf numFmtId="0" fontId="0" fillId="0" borderId="11" xfId="0" applyBorder="1" applyAlignment="1">
      <alignment horizontal="center" vertical="center"/>
    </xf>
    <xf numFmtId="0" fontId="0" fillId="0" borderId="11" xfId="0" applyBorder="1" applyAlignment="1">
      <alignment horizontal="center" vertical="center" wrapText="1"/>
    </xf>
    <xf numFmtId="0" fontId="0" fillId="0" borderId="27" xfId="0" applyBorder="1" applyAlignment="1">
      <alignment horizontal="center" vertical="center" wrapText="1"/>
    </xf>
    <xf numFmtId="0" fontId="3" fillId="4" borderId="24" xfId="0" applyFont="1" applyFill="1" applyBorder="1" applyAlignment="1">
      <alignment horizontal="center" vertical="center"/>
    </xf>
    <xf numFmtId="0" fontId="6" fillId="7" borderId="2" xfId="0" applyFont="1" applyFill="1" applyBorder="1" applyAlignment="1">
      <alignment horizontal="center"/>
    </xf>
    <xf numFmtId="0" fontId="6" fillId="7" borderId="3" xfId="0" applyFont="1" applyFill="1" applyBorder="1" applyAlignment="1">
      <alignment horizontal="center"/>
    </xf>
    <xf numFmtId="0" fontId="6" fillId="7" borderId="4" xfId="0" applyFont="1" applyFill="1" applyBorder="1" applyAlignment="1">
      <alignment horizontal="center"/>
    </xf>
    <xf numFmtId="0" fontId="3" fillId="4" borderId="41"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0" xfId="0" applyFont="1"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6" fillId="8" borderId="2" xfId="0" applyFont="1" applyFill="1" applyBorder="1" applyAlignment="1">
      <alignment horizontal="center"/>
    </xf>
    <xf numFmtId="0" fontId="6" fillId="8" borderId="3" xfId="0" applyFont="1" applyFill="1" applyBorder="1" applyAlignment="1">
      <alignment horizontal="center"/>
    </xf>
    <xf numFmtId="0" fontId="6" fillId="8" borderId="4" xfId="0" applyFont="1" applyFill="1" applyBorder="1" applyAlignment="1">
      <alignment horizontal="center"/>
    </xf>
    <xf numFmtId="0" fontId="3" fillId="4" borderId="41" xfId="0" applyFont="1" applyFill="1" applyBorder="1" applyAlignment="1">
      <alignment horizontal="center"/>
    </xf>
    <xf numFmtId="0" fontId="3" fillId="4" borderId="29" xfId="0" applyFont="1" applyFill="1" applyBorder="1" applyAlignment="1">
      <alignment horizontal="center"/>
    </xf>
    <xf numFmtId="0" fontId="3" fillId="4" borderId="52" xfId="0" applyFont="1" applyFill="1" applyBorder="1" applyAlignment="1">
      <alignment horizontal="center" vertical="center"/>
    </xf>
    <xf numFmtId="0" fontId="3" fillId="4" borderId="53" xfId="0" applyFont="1" applyFill="1" applyBorder="1" applyAlignment="1">
      <alignment horizontal="center" vertical="center"/>
    </xf>
    <xf numFmtId="0" fontId="0" fillId="0" borderId="44" xfId="0" applyBorder="1" applyAlignment="1">
      <alignment horizontal="center" vertical="center"/>
    </xf>
    <xf numFmtId="0" fontId="0" fillId="0" borderId="44" xfId="0" applyBorder="1" applyAlignment="1">
      <alignment horizontal="center" vertical="center" wrapText="1"/>
    </xf>
    <xf numFmtId="0" fontId="0" fillId="0" borderId="37" xfId="0" applyBorder="1" applyAlignment="1">
      <alignment horizontal="center" vertical="center" wrapText="1"/>
    </xf>
    <xf numFmtId="0" fontId="0" fillId="0" borderId="51" xfId="0" applyBorder="1" applyAlignment="1">
      <alignment horizontal="center" vertical="center" wrapText="1"/>
    </xf>
    <xf numFmtId="0" fontId="0" fillId="0" borderId="38" xfId="0" applyBorder="1" applyAlignment="1">
      <alignment horizontal="center" vertical="center" wrapText="1"/>
    </xf>
    <xf numFmtId="0" fontId="0" fillId="0" borderId="37" xfId="0" applyBorder="1" applyAlignment="1">
      <alignment horizontal="center" vertical="center"/>
    </xf>
    <xf numFmtId="0" fontId="0" fillId="0" borderId="51" xfId="0" applyBorder="1" applyAlignment="1">
      <alignment horizontal="center" vertical="center"/>
    </xf>
    <xf numFmtId="0" fontId="0" fillId="0" borderId="54" xfId="0"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0" fillId="0" borderId="27" xfId="0" applyBorder="1" applyAlignment="1">
      <alignment horizontal="center" vertical="center"/>
    </xf>
    <xf numFmtId="0" fontId="0" fillId="0" borderId="37" xfId="0" applyBorder="1" applyAlignment="1">
      <alignment horizontal="left" vertical="center" wrapText="1"/>
    </xf>
    <xf numFmtId="0" fontId="0" fillId="0" borderId="51" xfId="0" applyBorder="1" applyAlignment="1">
      <alignment horizontal="left" vertical="center" wrapText="1"/>
    </xf>
    <xf numFmtId="0" fontId="0" fillId="0" borderId="38" xfId="0" applyBorder="1" applyAlignment="1">
      <alignment horizontal="left" vertical="center" wrapText="1"/>
    </xf>
    <xf numFmtId="0" fontId="6" fillId="10" borderId="5" xfId="0" applyFont="1" applyFill="1" applyBorder="1" applyAlignment="1">
      <alignment horizontal="center"/>
    </xf>
    <xf numFmtId="0" fontId="6" fillId="10" borderId="6" xfId="0" applyFont="1" applyFill="1" applyBorder="1" applyAlignment="1">
      <alignment horizontal="center"/>
    </xf>
    <xf numFmtId="0" fontId="6" fillId="10" borderId="7" xfId="0" applyFont="1" applyFill="1" applyBorder="1" applyAlignment="1">
      <alignment horizontal="center"/>
    </xf>
    <xf numFmtId="0" fontId="6" fillId="10" borderId="3" xfId="0" applyFont="1" applyFill="1" applyBorder="1" applyAlignment="1">
      <alignment horizontal="center"/>
    </xf>
    <xf numFmtId="0" fontId="6" fillId="10" borderId="4" xfId="0" applyFont="1" applyFill="1" applyBorder="1" applyAlignment="1">
      <alignment horizontal="center"/>
    </xf>
    <xf numFmtId="0" fontId="3" fillId="4" borderId="48" xfId="0" applyFont="1" applyFill="1" applyBorder="1" applyAlignment="1">
      <alignment horizontal="center" vertical="center"/>
    </xf>
    <xf numFmtId="0" fontId="3" fillId="4" borderId="6" xfId="0" applyFont="1" applyFill="1" applyBorder="1" applyAlignment="1">
      <alignment horizontal="center" vertical="center"/>
    </xf>
    <xf numFmtId="0" fontId="3" fillId="11" borderId="5" xfId="0" applyFont="1" applyFill="1" applyBorder="1" applyAlignment="1">
      <alignment horizontal="center"/>
    </xf>
    <xf numFmtId="0" fontId="3" fillId="11" borderId="6" xfId="0" applyFont="1" applyFill="1" applyBorder="1" applyAlignment="1">
      <alignment horizontal="center"/>
    </xf>
    <xf numFmtId="0" fontId="3" fillId="11" borderId="7" xfId="0" applyFont="1" applyFill="1" applyBorder="1" applyAlignment="1">
      <alignment horizontal="center"/>
    </xf>
    <xf numFmtId="0" fontId="3" fillId="4" borderId="20"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22" xfId="0" applyFont="1" applyFill="1" applyBorder="1" applyAlignment="1">
      <alignment horizontal="center" vertical="center"/>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3" fillId="4" borderId="44" xfId="0" applyFont="1" applyFill="1" applyBorder="1" applyAlignment="1">
      <alignment horizontal="center" vertical="center"/>
    </xf>
    <xf numFmtId="0" fontId="0" fillId="0" borderId="44" xfId="0" applyBorder="1" applyAlignment="1">
      <alignment horizontal="left" vertical="center" wrapText="1"/>
    </xf>
    <xf numFmtId="0" fontId="0" fillId="0" borderId="11" xfId="0" applyBorder="1" applyAlignment="1">
      <alignment horizontal="left" vertical="center" wrapText="1"/>
    </xf>
    <xf numFmtId="0" fontId="0" fillId="0" borderId="32" xfId="0" applyBorder="1" applyAlignment="1">
      <alignment horizontal="center" vertical="center"/>
    </xf>
    <xf numFmtId="0" fontId="3" fillId="4" borderId="55" xfId="0" applyFont="1" applyFill="1" applyBorder="1" applyAlignment="1">
      <alignment horizontal="center" vertical="center"/>
    </xf>
    <xf numFmtId="0" fontId="3" fillId="4" borderId="36" xfId="0" applyFont="1" applyFill="1" applyBorder="1" applyAlignment="1">
      <alignment horizontal="center" vertical="center"/>
    </xf>
    <xf numFmtId="0" fontId="0" fillId="0" borderId="32" xfId="0" applyBorder="1" applyAlignment="1">
      <alignment horizontal="left" vertical="center" wrapText="1"/>
    </xf>
    <xf numFmtId="0" fontId="0" fillId="0" borderId="27" xfId="0" applyBorder="1" applyAlignment="1">
      <alignment horizontal="left" vertical="center" wrapText="1"/>
    </xf>
    <xf numFmtId="0" fontId="0" fillId="0" borderId="34" xfId="0" applyBorder="1" applyAlignment="1">
      <alignment horizontal="left" vertical="center" wrapText="1"/>
    </xf>
    <xf numFmtId="0" fontId="3" fillId="3" borderId="0" xfId="0" applyFont="1" applyFill="1" applyBorder="1" applyAlignment="1">
      <alignment horizontal="left" vertical="center" wrapText="1"/>
    </xf>
  </cellXfs>
  <cellStyles count="5">
    <cellStyle name="Comma" xfId="1" builtinId="3"/>
    <cellStyle name="Currency" xfId="2" builtinId="4"/>
    <cellStyle name="Hyperlink" xfId="4" builtinId="8"/>
    <cellStyle name="Input" xfId="3" builtinId="20"/>
    <cellStyle name="Normal" xfId="0" builtinId="0"/>
  </cellStyles>
  <dxfs count="4">
    <dxf>
      <font>
        <b/>
        <i val="0"/>
        <color rgb="FFFF0000"/>
      </font>
    </dxf>
    <dxf>
      <font>
        <b/>
        <i/>
        <color rgb="FFFF0000"/>
      </font>
    </dxf>
    <dxf>
      <font>
        <b/>
        <i val="0"/>
        <color rgb="FFFF0000"/>
      </font>
    </dxf>
    <dxf>
      <font>
        <b/>
        <i/>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240583</xdr:colOff>
      <xdr:row>13</xdr:row>
      <xdr:rowOff>40261</xdr:rowOff>
    </xdr:from>
    <xdr:to>
      <xdr:col>10</xdr:col>
      <xdr:colOff>174580</xdr:colOff>
      <xdr:row>34</xdr:row>
      <xdr:rowOff>172533</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240583" y="3136185"/>
          <a:ext cx="8186600" cy="4014159"/>
        </a:xfrm>
        <a:prstGeom prst="rect">
          <a:avLst/>
        </a:prstGeom>
        <a:ln>
          <a:solidFill>
            <a:schemeClr val="tx1"/>
          </a:solidFill>
        </a:ln>
      </xdr:spPr>
    </xdr:pic>
    <xdr:clientData/>
  </xdr:twoCellAnchor>
  <xdr:twoCellAnchor editAs="oneCell">
    <xdr:from>
      <xdr:col>1</xdr:col>
      <xdr:colOff>425571</xdr:colOff>
      <xdr:row>36</xdr:row>
      <xdr:rowOff>58468</xdr:rowOff>
    </xdr:from>
    <xdr:to>
      <xdr:col>8</xdr:col>
      <xdr:colOff>171275</xdr:colOff>
      <xdr:row>55</xdr:row>
      <xdr:rowOff>180195</xdr:rowOff>
    </xdr:to>
    <xdr:pic>
      <xdr:nvPicPr>
        <xdr:cNvPr id="7" name="Picture 6" descr="An image that shows that source energy results in equitable comparisons.">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4779" y="7400506"/>
          <a:ext cx="6503062" cy="3581878"/>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536756</xdr:colOff>
      <xdr:row>13</xdr:row>
      <xdr:rowOff>28755</xdr:rowOff>
    </xdr:from>
    <xdr:to>
      <xdr:col>22</xdr:col>
      <xdr:colOff>457108</xdr:colOff>
      <xdr:row>46</xdr:row>
      <xdr:rowOff>37699</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3"/>
        <a:stretch>
          <a:fillRect/>
        </a:stretch>
      </xdr:blipFill>
      <xdr:spPr>
        <a:xfrm>
          <a:off x="8789359" y="3105509"/>
          <a:ext cx="7933333" cy="6076190"/>
        </a:xfrm>
        <a:prstGeom prst="rect">
          <a:avLst/>
        </a:prstGeom>
        <a:ln>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ergystar.gov/buildings/benchmark/understand_metrics/source_site_differenc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6"/>
  <sheetViews>
    <sheetView showGridLines="0" zoomScale="90" zoomScaleNormal="90" workbookViewId="0">
      <selection activeCell="D10" sqref="D10"/>
    </sheetView>
    <sheetView workbookViewId="1"/>
  </sheetViews>
  <sheetFormatPr defaultRowHeight="14.5" x14ac:dyDescent="0.35"/>
  <cols>
    <col min="1" max="1" width="3.6328125" customWidth="1"/>
    <col min="2" max="2" width="42.6328125" customWidth="1"/>
    <col min="4" max="4" width="10.08984375" bestFit="1" customWidth="1"/>
    <col min="14" max="14" width="16.7265625" customWidth="1"/>
  </cols>
  <sheetData>
    <row r="1" spans="2:17" ht="25.9" customHeight="1" thickBot="1" x14ac:dyDescent="0.4">
      <c r="B1" s="33" t="s">
        <v>0</v>
      </c>
    </row>
    <row r="2" spans="2:17" ht="21.75" customHeight="1" thickBot="1" x14ac:dyDescent="0.4">
      <c r="B2" s="239" t="s">
        <v>3</v>
      </c>
      <c r="C2" s="240"/>
      <c r="D2" s="240"/>
      <c r="E2" s="240"/>
      <c r="F2" s="240"/>
      <c r="G2" s="240"/>
      <c r="H2" s="240"/>
      <c r="I2" s="240"/>
      <c r="J2" s="240"/>
      <c r="K2" s="240"/>
      <c r="L2" s="241"/>
      <c r="O2" s="252" t="s">
        <v>15</v>
      </c>
      <c r="P2" s="253"/>
      <c r="Q2" s="254"/>
    </row>
    <row r="3" spans="2:17" ht="21.75" customHeight="1" x14ac:dyDescent="0.35">
      <c r="B3" s="242"/>
      <c r="C3" s="243"/>
      <c r="D3" s="243"/>
      <c r="E3" s="243"/>
      <c r="F3" s="243"/>
      <c r="G3" s="243"/>
      <c r="H3" s="243"/>
      <c r="I3" s="243"/>
      <c r="J3" s="243"/>
      <c r="K3" s="243"/>
      <c r="L3" s="244"/>
      <c r="O3" s="4" t="s">
        <v>6</v>
      </c>
      <c r="P3" s="5">
        <v>3412</v>
      </c>
      <c r="Q3" s="6" t="s">
        <v>7</v>
      </c>
    </row>
    <row r="4" spans="2:17" ht="21.75" customHeight="1" x14ac:dyDescent="0.35">
      <c r="B4" s="242"/>
      <c r="C4" s="243"/>
      <c r="D4" s="243"/>
      <c r="E4" s="243"/>
      <c r="F4" s="243"/>
      <c r="G4" s="243"/>
      <c r="H4" s="243"/>
      <c r="I4" s="243"/>
      <c r="J4" s="243"/>
      <c r="K4" s="243"/>
      <c r="L4" s="244"/>
      <c r="O4" s="37" t="s">
        <v>10</v>
      </c>
      <c r="P4" s="10">
        <v>100000</v>
      </c>
      <c r="Q4" s="38" t="s">
        <v>7</v>
      </c>
    </row>
    <row r="5" spans="2:17" ht="20.399999999999999" customHeight="1" thickBot="1" x14ac:dyDescent="0.4">
      <c r="B5" s="245"/>
      <c r="C5" s="246"/>
      <c r="D5" s="246"/>
      <c r="E5" s="246"/>
      <c r="F5" s="246"/>
      <c r="G5" s="246"/>
      <c r="H5" s="246"/>
      <c r="I5" s="246"/>
      <c r="J5" s="246"/>
      <c r="K5" s="246"/>
      <c r="L5" s="247"/>
      <c r="O5" s="8" t="s">
        <v>10</v>
      </c>
      <c r="P5" s="40">
        <v>29.3</v>
      </c>
      <c r="Q5" s="9" t="s">
        <v>17</v>
      </c>
    </row>
    <row r="7" spans="2:17" ht="15.5" x14ac:dyDescent="0.35">
      <c r="B7" s="255" t="s">
        <v>16</v>
      </c>
      <c r="C7" s="256"/>
      <c r="D7" s="248" t="s">
        <v>9</v>
      </c>
      <c r="E7" s="249"/>
      <c r="F7" s="35" t="s">
        <v>2</v>
      </c>
      <c r="G7" s="36"/>
      <c r="H7" s="19"/>
      <c r="I7" s="19"/>
      <c r="J7" s="19"/>
      <c r="K7" s="19"/>
      <c r="L7" s="19"/>
      <c r="M7" s="19"/>
      <c r="N7" s="20"/>
    </row>
    <row r="8" spans="2:17" ht="19" customHeight="1" x14ac:dyDescent="0.35">
      <c r="B8" s="22" t="s">
        <v>1</v>
      </c>
      <c r="C8" s="30">
        <v>1.01</v>
      </c>
      <c r="D8" s="250" t="s">
        <v>12</v>
      </c>
      <c r="E8" s="251"/>
      <c r="F8" s="22" t="s">
        <v>11</v>
      </c>
      <c r="G8" s="23"/>
      <c r="H8" s="23"/>
      <c r="I8" s="23"/>
      <c r="J8" s="23"/>
      <c r="K8" s="23"/>
      <c r="L8" s="23"/>
      <c r="M8" s="23"/>
      <c r="N8" s="24"/>
    </row>
    <row r="9" spans="2:17" ht="19" customHeight="1" x14ac:dyDescent="0.35">
      <c r="B9" s="22" t="s">
        <v>4</v>
      </c>
      <c r="C9" s="30">
        <v>3.16</v>
      </c>
      <c r="D9" s="28">
        <f>C9*P3</f>
        <v>10781.92</v>
      </c>
      <c r="E9" s="24" t="s">
        <v>8</v>
      </c>
      <c r="F9" s="22" t="s">
        <v>13</v>
      </c>
      <c r="G9" s="23"/>
      <c r="H9" s="23"/>
      <c r="I9" s="23"/>
      <c r="J9" s="23"/>
      <c r="K9" s="23"/>
      <c r="L9" s="23"/>
      <c r="M9" s="23"/>
      <c r="N9" s="24"/>
      <c r="O9" t="s">
        <v>77</v>
      </c>
    </row>
    <row r="10" spans="2:17" ht="19" customHeight="1" x14ac:dyDescent="0.35">
      <c r="B10" s="25" t="s">
        <v>5</v>
      </c>
      <c r="C10" s="31">
        <v>3.07</v>
      </c>
      <c r="D10" s="29">
        <f>C10*P3</f>
        <v>10474.84</v>
      </c>
      <c r="E10" s="27" t="s">
        <v>8</v>
      </c>
      <c r="F10" s="25" t="s">
        <v>14</v>
      </c>
      <c r="G10" s="26"/>
      <c r="H10" s="26"/>
      <c r="I10" s="26"/>
      <c r="J10" s="26"/>
      <c r="K10" s="26"/>
      <c r="L10" s="26"/>
      <c r="M10" s="26"/>
      <c r="N10" s="27"/>
      <c r="O10" t="s">
        <v>77</v>
      </c>
    </row>
    <row r="11" spans="2:17" ht="15" thickBot="1" x14ac:dyDescent="0.4"/>
    <row r="12" spans="2:17" ht="15" thickBot="1" x14ac:dyDescent="0.4">
      <c r="B12" s="149" t="s">
        <v>121</v>
      </c>
      <c r="L12" t="s">
        <v>19</v>
      </c>
      <c r="M12" s="42" t="s">
        <v>20</v>
      </c>
      <c r="N12" s="2"/>
    </row>
    <row r="13" spans="2:17" x14ac:dyDescent="0.35">
      <c r="M13" s="2"/>
      <c r="N13" s="2"/>
    </row>
    <row r="34" spans="1:9" ht="18.5" x14ac:dyDescent="0.45">
      <c r="B34" s="41" t="s">
        <v>18</v>
      </c>
      <c r="C34" s="12"/>
      <c r="D34" s="12"/>
      <c r="E34" s="12"/>
      <c r="F34" s="12"/>
      <c r="G34" s="12"/>
      <c r="H34" s="13"/>
    </row>
    <row r="35" spans="1:9" x14ac:dyDescent="0.35">
      <c r="B35" s="14"/>
      <c r="C35" s="15"/>
      <c r="D35" s="15"/>
      <c r="E35" s="15"/>
      <c r="F35" s="15"/>
      <c r="G35" s="15"/>
      <c r="H35" s="16"/>
    </row>
    <row r="36" spans="1:9" x14ac:dyDescent="0.35">
      <c r="A36" s="15"/>
      <c r="B36" s="15"/>
      <c r="C36" s="15"/>
      <c r="D36" s="15"/>
      <c r="E36" s="15"/>
      <c r="F36" s="15"/>
      <c r="G36" s="15"/>
      <c r="H36" s="15"/>
      <c r="I36" s="15"/>
    </row>
    <row r="37" spans="1:9" x14ac:dyDescent="0.35">
      <c r="A37" s="15"/>
      <c r="B37" s="15"/>
      <c r="C37" s="15"/>
      <c r="D37" s="15"/>
      <c r="E37" s="15"/>
      <c r="F37" s="15"/>
      <c r="G37" s="15"/>
      <c r="H37" s="15"/>
      <c r="I37" s="15"/>
    </row>
    <row r="38" spans="1:9" x14ac:dyDescent="0.35">
      <c r="A38" s="15"/>
      <c r="B38" s="15"/>
      <c r="C38" s="15"/>
      <c r="D38" s="15"/>
      <c r="E38" s="15"/>
      <c r="F38" s="15"/>
      <c r="G38" s="15"/>
      <c r="H38" s="15"/>
      <c r="I38" s="15"/>
    </row>
    <row r="39" spans="1:9" x14ac:dyDescent="0.35">
      <c r="A39" s="15"/>
      <c r="B39" s="15"/>
      <c r="C39" s="15"/>
      <c r="D39" s="15"/>
      <c r="E39" s="15"/>
      <c r="F39" s="15"/>
      <c r="G39" s="15"/>
      <c r="H39" s="15"/>
      <c r="I39" s="15"/>
    </row>
    <row r="40" spans="1:9" x14ac:dyDescent="0.35">
      <c r="A40" s="15"/>
      <c r="B40" s="15"/>
      <c r="C40" s="15"/>
      <c r="D40" s="15"/>
      <c r="E40" s="15"/>
      <c r="F40" s="15"/>
      <c r="G40" s="15"/>
      <c r="H40" s="15"/>
      <c r="I40" s="15"/>
    </row>
    <row r="41" spans="1:9" x14ac:dyDescent="0.35">
      <c r="A41" s="15"/>
      <c r="B41" s="15"/>
      <c r="C41" s="15"/>
      <c r="D41" s="15"/>
      <c r="E41" s="15"/>
      <c r="F41" s="15"/>
      <c r="G41" s="15"/>
      <c r="H41" s="15"/>
      <c r="I41" s="15"/>
    </row>
    <row r="42" spans="1:9" x14ac:dyDescent="0.35">
      <c r="A42" s="15"/>
      <c r="B42" s="15"/>
      <c r="C42" s="15"/>
      <c r="D42" s="15"/>
      <c r="E42" s="15"/>
      <c r="F42" s="15"/>
      <c r="G42" s="15"/>
      <c r="H42" s="15"/>
      <c r="I42" s="15"/>
    </row>
    <row r="43" spans="1:9" x14ac:dyDescent="0.35">
      <c r="A43" s="15"/>
      <c r="B43" s="15"/>
      <c r="C43" s="15"/>
      <c r="D43" s="15"/>
      <c r="E43" s="15"/>
      <c r="F43" s="15"/>
      <c r="G43" s="15"/>
      <c r="H43" s="15"/>
      <c r="I43" s="15"/>
    </row>
    <row r="44" spans="1:9" x14ac:dyDescent="0.35">
      <c r="A44" s="15"/>
      <c r="B44" s="15"/>
      <c r="C44" s="15"/>
      <c r="D44" s="15"/>
      <c r="E44" s="15"/>
      <c r="F44" s="15"/>
      <c r="G44" s="15"/>
      <c r="H44" s="15"/>
      <c r="I44" s="15"/>
    </row>
    <row r="45" spans="1:9" x14ac:dyDescent="0.35">
      <c r="A45" s="15"/>
      <c r="B45" s="15"/>
      <c r="C45" s="15"/>
      <c r="D45" s="15"/>
      <c r="E45" s="15"/>
      <c r="F45" s="15"/>
      <c r="G45" s="15"/>
      <c r="H45" s="15"/>
      <c r="I45" s="15"/>
    </row>
    <row r="46" spans="1:9" x14ac:dyDescent="0.35">
      <c r="A46" s="15"/>
      <c r="B46" s="15"/>
      <c r="C46" s="15"/>
      <c r="D46" s="15"/>
      <c r="E46" s="15"/>
      <c r="F46" s="15"/>
      <c r="G46" s="15"/>
      <c r="H46" s="15"/>
      <c r="I46" s="15"/>
    </row>
    <row r="47" spans="1:9" x14ac:dyDescent="0.35">
      <c r="A47" s="15"/>
      <c r="B47" s="15"/>
      <c r="C47" s="15"/>
      <c r="D47" s="15"/>
      <c r="E47" s="15"/>
      <c r="F47" s="15"/>
      <c r="G47" s="15"/>
      <c r="H47" s="15"/>
      <c r="I47" s="15"/>
    </row>
    <row r="48" spans="1:9" x14ac:dyDescent="0.35">
      <c r="A48" s="15"/>
      <c r="B48" s="15"/>
      <c r="C48" s="15"/>
      <c r="D48" s="15"/>
      <c r="E48" s="15"/>
      <c r="F48" s="15"/>
      <c r="G48" s="15"/>
      <c r="H48" s="15"/>
      <c r="I48" s="15"/>
    </row>
    <row r="49" spans="1:9" x14ac:dyDescent="0.35">
      <c r="A49" s="15"/>
      <c r="B49" s="15"/>
      <c r="C49" s="15"/>
      <c r="D49" s="15"/>
      <c r="E49" s="15"/>
      <c r="F49" s="15"/>
      <c r="G49" s="15"/>
      <c r="H49" s="15"/>
      <c r="I49" s="15"/>
    </row>
    <row r="50" spans="1:9" x14ac:dyDescent="0.35">
      <c r="A50" s="15"/>
      <c r="B50" s="15"/>
      <c r="C50" s="15"/>
      <c r="D50" s="15"/>
      <c r="E50" s="15"/>
      <c r="F50" s="15"/>
      <c r="G50" s="15"/>
      <c r="H50" s="15"/>
      <c r="I50" s="15"/>
    </row>
    <row r="51" spans="1:9" x14ac:dyDescent="0.35">
      <c r="A51" s="15"/>
      <c r="B51" s="15"/>
      <c r="C51" s="15"/>
      <c r="D51" s="15"/>
      <c r="E51" s="15"/>
      <c r="F51" s="15"/>
      <c r="G51" s="15"/>
      <c r="H51" s="15"/>
      <c r="I51" s="15"/>
    </row>
    <row r="52" spans="1:9" x14ac:dyDescent="0.35">
      <c r="A52" s="15"/>
      <c r="B52" s="15"/>
      <c r="C52" s="15"/>
      <c r="D52" s="15"/>
      <c r="E52" s="15"/>
      <c r="F52" s="15"/>
      <c r="G52" s="15"/>
      <c r="H52" s="15"/>
      <c r="I52" s="15"/>
    </row>
    <row r="53" spans="1:9" x14ac:dyDescent="0.35">
      <c r="A53" s="15"/>
      <c r="B53" s="15"/>
      <c r="C53" s="15"/>
      <c r="D53" s="15"/>
      <c r="E53" s="15"/>
      <c r="F53" s="15"/>
      <c r="G53" s="15"/>
      <c r="H53" s="15"/>
      <c r="I53" s="15"/>
    </row>
    <row r="54" spans="1:9" x14ac:dyDescent="0.35">
      <c r="A54" s="15"/>
      <c r="B54" s="15"/>
      <c r="C54" s="15"/>
      <c r="D54" s="15"/>
      <c r="E54" s="15"/>
      <c r="F54" s="15"/>
      <c r="G54" s="15"/>
      <c r="H54" s="15"/>
      <c r="I54" s="15"/>
    </row>
    <row r="55" spans="1:9" x14ac:dyDescent="0.35">
      <c r="A55" s="15"/>
      <c r="B55" s="15"/>
      <c r="C55" s="15"/>
      <c r="D55" s="15"/>
      <c r="E55" s="15"/>
      <c r="F55" s="15"/>
      <c r="G55" s="15"/>
      <c r="H55" s="15"/>
      <c r="I55" s="15"/>
    </row>
    <row r="56" spans="1:9" x14ac:dyDescent="0.35">
      <c r="A56" s="15"/>
      <c r="B56" s="15"/>
      <c r="C56" s="15"/>
      <c r="D56" s="15"/>
      <c r="E56" s="15"/>
      <c r="F56" s="15"/>
      <c r="G56" s="15"/>
      <c r="H56" s="15"/>
      <c r="I56" s="15"/>
    </row>
  </sheetData>
  <mergeCells count="5">
    <mergeCell ref="B2:L5"/>
    <mergeCell ref="D7:E7"/>
    <mergeCell ref="D8:E8"/>
    <mergeCell ref="O2:Q2"/>
    <mergeCell ref="B7:C7"/>
  </mergeCells>
  <hyperlinks>
    <hyperlink ref="M12" r:id="rId1"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Q94"/>
  <sheetViews>
    <sheetView showGridLines="0" zoomScale="90" zoomScaleNormal="90" workbookViewId="0">
      <pane xSplit="1" ySplit="6" topLeftCell="B7" activePane="bottomRight" state="frozen"/>
      <selection pane="topRight" activeCell="B1" sqref="B1"/>
      <selection pane="bottomLeft" activeCell="A7" sqref="A7"/>
      <selection pane="bottomRight" activeCell="D15" sqref="D15"/>
    </sheetView>
    <sheetView workbookViewId="1"/>
  </sheetViews>
  <sheetFormatPr defaultRowHeight="14.5" x14ac:dyDescent="0.35"/>
  <cols>
    <col min="1" max="1" width="5" customWidth="1"/>
    <col min="2" max="2" width="29.26953125" style="32" customWidth="1"/>
    <col min="3" max="3" width="14.7265625" style="3" customWidth="1"/>
    <col min="5" max="5" width="7.7265625" customWidth="1"/>
    <col min="7" max="7" width="11.08984375" customWidth="1"/>
    <col min="8" max="8" width="10.453125" customWidth="1"/>
    <col min="9" max="9" width="9.26953125" customWidth="1"/>
    <col min="10" max="10" width="10.6328125" customWidth="1"/>
    <col min="14" max="14" width="5.08984375" hidden="1" customWidth="1"/>
    <col min="15" max="15" width="27.7265625" hidden="1" customWidth="1"/>
    <col min="16" max="16" width="10.453125" hidden="1" customWidth="1"/>
    <col min="17" max="17" width="2.90625" hidden="1" customWidth="1"/>
    <col min="18" max="18" width="8.08984375" hidden="1" customWidth="1"/>
    <col min="19" max="19" width="16" hidden="1" customWidth="1"/>
    <col min="20" max="20" width="12.90625" hidden="1" customWidth="1"/>
    <col min="21" max="21" width="13.26953125" hidden="1" customWidth="1"/>
    <col min="22" max="24" width="9" hidden="1" customWidth="1"/>
    <col min="25" max="31" width="9" customWidth="1"/>
    <col min="32" max="32" width="9" hidden="1" customWidth="1"/>
    <col min="33" max="34" width="9" customWidth="1"/>
  </cols>
  <sheetData>
    <row r="1" spans="2:43" ht="22.5" customHeight="1" x14ac:dyDescent="0.35">
      <c r="B1" s="257" t="s">
        <v>76</v>
      </c>
      <c r="C1" s="258"/>
      <c r="D1" s="258"/>
      <c r="E1" s="258"/>
      <c r="F1" s="258"/>
      <c r="G1" s="258"/>
      <c r="H1" s="258"/>
      <c r="I1" s="259"/>
      <c r="J1" s="4" t="s">
        <v>6</v>
      </c>
      <c r="K1" s="163">
        <v>3412</v>
      </c>
      <c r="L1" s="6" t="s">
        <v>7</v>
      </c>
      <c r="M1" s="182"/>
      <c r="Y1" s="184" t="s">
        <v>50</v>
      </c>
      <c r="Z1" s="184" t="s">
        <v>38</v>
      </c>
      <c r="AA1" s="119" t="s">
        <v>176</v>
      </c>
    </row>
    <row r="2" spans="2:43" ht="17" customHeight="1" thickBot="1" x14ac:dyDescent="0.4">
      <c r="B2" s="179"/>
      <c r="C2" s="180"/>
      <c r="D2" s="180"/>
      <c r="E2" s="180"/>
      <c r="F2" s="180"/>
      <c r="G2" s="180"/>
      <c r="H2" s="180"/>
      <c r="I2" s="180"/>
      <c r="J2" s="37" t="s">
        <v>143</v>
      </c>
      <c r="K2" s="165">
        <v>29.3</v>
      </c>
      <c r="L2" s="38" t="s">
        <v>17</v>
      </c>
      <c r="M2" s="181"/>
      <c r="Y2">
        <v>8.4</v>
      </c>
      <c r="Z2">
        <v>14</v>
      </c>
    </row>
    <row r="3" spans="2:43" ht="17" customHeight="1" thickBot="1" x14ac:dyDescent="0.4">
      <c r="B3" s="179"/>
      <c r="C3" s="45" t="s">
        <v>43</v>
      </c>
      <c r="D3" s="260" t="s">
        <v>42</v>
      </c>
      <c r="E3" s="261"/>
      <c r="F3" s="262" t="s">
        <v>44</v>
      </c>
      <c r="G3" s="263"/>
      <c r="H3" s="60" t="s">
        <v>67</v>
      </c>
      <c r="I3" s="180"/>
      <c r="J3" s="37" t="s">
        <v>138</v>
      </c>
      <c r="K3" s="164">
        <v>293</v>
      </c>
      <c r="L3" s="38" t="s">
        <v>17</v>
      </c>
      <c r="M3" s="181"/>
      <c r="Y3">
        <v>8.8000000000000007</v>
      </c>
      <c r="Z3">
        <v>15</v>
      </c>
    </row>
    <row r="4" spans="2:43" ht="17" customHeight="1" thickBot="1" x14ac:dyDescent="0.4">
      <c r="B4" s="179"/>
      <c r="C4" s="180"/>
      <c r="D4" s="180"/>
      <c r="E4" s="180"/>
      <c r="F4" s="180"/>
      <c r="G4" s="180"/>
      <c r="H4" s="180"/>
      <c r="I4" s="180"/>
      <c r="J4" s="8" t="s">
        <v>119</v>
      </c>
      <c r="K4" s="40">
        <v>10</v>
      </c>
      <c r="L4" s="9" t="s">
        <v>117</v>
      </c>
      <c r="M4" s="181"/>
      <c r="Y4">
        <v>9</v>
      </c>
      <c r="Z4">
        <v>16</v>
      </c>
    </row>
    <row r="5" spans="2:43" x14ac:dyDescent="0.35">
      <c r="B5" s="93"/>
      <c r="D5" s="178" t="s">
        <v>115</v>
      </c>
      <c r="E5" s="183">
        <f>IF(OR(C12=S10,C12=S11),Background!D9,Background!D10)</f>
        <v>10781.92</v>
      </c>
      <c r="F5" s="15" t="s">
        <v>8</v>
      </c>
      <c r="H5" s="15"/>
      <c r="I5" s="178" t="s">
        <v>1</v>
      </c>
      <c r="J5" s="185">
        <v>1.01</v>
      </c>
      <c r="K5" s="15"/>
      <c r="L5" s="15"/>
      <c r="M5" s="94"/>
      <c r="Y5">
        <v>9.1999999999999993</v>
      </c>
      <c r="Z5">
        <v>18</v>
      </c>
    </row>
    <row r="6" spans="2:43" ht="12.9" customHeight="1" thickBot="1" x14ac:dyDescent="0.4">
      <c r="B6" s="95"/>
      <c r="C6" s="34"/>
      <c r="D6" s="39"/>
      <c r="E6" s="39"/>
      <c r="F6" s="39"/>
      <c r="G6" s="39"/>
      <c r="H6" s="39"/>
      <c r="I6" s="39"/>
      <c r="J6" s="39"/>
      <c r="K6" s="39"/>
      <c r="L6" s="39"/>
      <c r="M6" s="7"/>
      <c r="Y6">
        <v>13</v>
      </c>
      <c r="Z6">
        <v>20.5</v>
      </c>
    </row>
    <row r="7" spans="2:43" s="44" customFormat="1" ht="12.9" customHeight="1" x14ac:dyDescent="0.35">
      <c r="B7" s="96"/>
      <c r="C7" s="89"/>
      <c r="D7" s="11"/>
      <c r="E7" s="11"/>
      <c r="F7" s="11"/>
      <c r="G7" s="11"/>
      <c r="H7" s="11"/>
      <c r="I7" s="11"/>
      <c r="J7" s="11"/>
      <c r="K7" s="11"/>
      <c r="L7" s="11"/>
      <c r="M7" s="11"/>
    </row>
    <row r="8" spans="2:43" ht="19" customHeight="1" x14ac:dyDescent="0.45">
      <c r="B8" s="76" t="s">
        <v>178</v>
      </c>
      <c r="C8" s="50"/>
      <c r="D8" s="51"/>
      <c r="E8" s="51"/>
      <c r="F8" s="51"/>
      <c r="G8" s="51"/>
      <c r="H8" s="51"/>
      <c r="I8" s="51"/>
      <c r="J8" s="51"/>
      <c r="K8" s="51"/>
      <c r="L8" s="51"/>
      <c r="M8" s="52"/>
      <c r="N8" s="62"/>
      <c r="O8" s="62"/>
      <c r="P8" s="63"/>
      <c r="S8" s="264" t="s">
        <v>62</v>
      </c>
      <c r="T8" s="264"/>
      <c r="U8" s="264"/>
      <c r="AE8" s="15"/>
      <c r="AF8" s="231" t="s">
        <v>128</v>
      </c>
      <c r="AG8" s="231"/>
      <c r="AH8" s="231"/>
      <c r="AI8" s="231"/>
      <c r="AJ8" s="231"/>
      <c r="AK8" s="231"/>
      <c r="AL8" s="231"/>
      <c r="AM8" s="231"/>
      <c r="AN8" s="231"/>
      <c r="AO8" s="231"/>
      <c r="AP8" s="231"/>
      <c r="AQ8" s="15"/>
    </row>
    <row r="9" spans="2:43" ht="29.9" customHeight="1" thickBot="1" x14ac:dyDescent="0.4">
      <c r="B9" s="66"/>
      <c r="C9" s="45"/>
      <c r="D9" s="15"/>
      <c r="E9" s="15"/>
      <c r="F9" s="15"/>
      <c r="G9" s="15"/>
      <c r="H9" s="15"/>
      <c r="I9" s="15"/>
      <c r="J9" s="15"/>
      <c r="K9" s="15"/>
      <c r="L9" s="15"/>
      <c r="M9" s="16"/>
      <c r="N9" s="64"/>
      <c r="O9" s="265" t="s">
        <v>58</v>
      </c>
      <c r="P9" s="266"/>
      <c r="S9" s="72" t="s">
        <v>61</v>
      </c>
      <c r="T9" s="72" t="s">
        <v>63</v>
      </c>
      <c r="U9" s="72" t="s">
        <v>64</v>
      </c>
      <c r="AE9" s="15"/>
      <c r="AF9" s="231"/>
      <c r="AG9" s="231"/>
      <c r="AH9" s="231"/>
      <c r="AI9" s="231"/>
      <c r="AJ9" s="231"/>
      <c r="AK9" s="231"/>
      <c r="AL9" s="231"/>
      <c r="AM9" s="231"/>
      <c r="AN9" s="231"/>
      <c r="AO9" s="231"/>
      <c r="AP9" s="231"/>
      <c r="AQ9" s="15"/>
    </row>
    <row r="10" spans="2:43" x14ac:dyDescent="0.35">
      <c r="B10" s="66" t="s">
        <v>23</v>
      </c>
      <c r="C10" s="45" t="s">
        <v>28</v>
      </c>
      <c r="D10" s="92">
        <v>0.8</v>
      </c>
      <c r="E10" s="15" t="s">
        <v>29</v>
      </c>
      <c r="F10" s="15"/>
      <c r="G10" s="15"/>
      <c r="H10" s="15"/>
      <c r="I10" s="15"/>
      <c r="J10" s="15"/>
      <c r="K10" s="15"/>
      <c r="L10" s="15"/>
      <c r="M10" s="16"/>
      <c r="N10" s="64"/>
      <c r="O10" s="82" t="s">
        <v>46</v>
      </c>
      <c r="P10" s="82">
        <f>VLOOKUP(C12, S10:U14,3, )</f>
        <v>1840</v>
      </c>
      <c r="Q10" s="1"/>
      <c r="R10" s="1"/>
      <c r="S10" s="70" t="s">
        <v>71</v>
      </c>
      <c r="T10" s="71">
        <v>1022</v>
      </c>
      <c r="U10" s="71">
        <v>1969</v>
      </c>
      <c r="AE10" s="15"/>
      <c r="AF10" s="15"/>
      <c r="AG10" s="15"/>
      <c r="AH10" s="15"/>
      <c r="AI10" s="15"/>
      <c r="AJ10" s="15"/>
      <c r="AK10" s="15"/>
      <c r="AL10" s="15"/>
      <c r="AM10" s="15"/>
      <c r="AN10" s="15"/>
      <c r="AO10" s="15"/>
      <c r="AP10" s="15"/>
      <c r="AQ10" s="15"/>
    </row>
    <row r="11" spans="2:43" x14ac:dyDescent="0.35">
      <c r="B11" s="66" t="s">
        <v>24</v>
      </c>
      <c r="C11" s="45" t="s">
        <v>21</v>
      </c>
      <c r="D11" s="91"/>
      <c r="E11" s="15" t="s">
        <v>38</v>
      </c>
      <c r="F11" s="15"/>
      <c r="G11" s="15"/>
      <c r="H11" s="15"/>
      <c r="I11" s="15"/>
      <c r="J11" s="15"/>
      <c r="K11" s="15"/>
      <c r="L11" s="15"/>
      <c r="M11" s="16"/>
      <c r="N11" s="64"/>
      <c r="O11" s="82" t="s">
        <v>123</v>
      </c>
      <c r="P11" s="82">
        <v>33000</v>
      </c>
      <c r="Q11" t="s">
        <v>75</v>
      </c>
      <c r="S11" s="58" t="s">
        <v>72</v>
      </c>
      <c r="T11" s="69">
        <v>976</v>
      </c>
      <c r="U11" s="69">
        <v>1840</v>
      </c>
      <c r="AE11" s="15"/>
      <c r="AF11" s="15"/>
      <c r="AG11" s="15"/>
      <c r="AH11" s="15"/>
      <c r="AI11" s="15"/>
      <c r="AJ11" s="15"/>
      <c r="AK11" s="15"/>
      <c r="AL11" s="15"/>
      <c r="AM11" s="15"/>
      <c r="AN11" s="15"/>
      <c r="AO11" s="15"/>
      <c r="AP11" s="15"/>
      <c r="AQ11" s="15"/>
    </row>
    <row r="12" spans="2:43" x14ac:dyDescent="0.35">
      <c r="B12" s="66" t="s">
        <v>57</v>
      </c>
      <c r="C12" s="61" t="s">
        <v>72</v>
      </c>
      <c r="D12" s="45"/>
      <c r="E12" s="15"/>
      <c r="F12" s="15"/>
      <c r="G12" s="15"/>
      <c r="H12" s="15"/>
      <c r="I12" s="15"/>
      <c r="J12" s="15"/>
      <c r="K12" s="15"/>
      <c r="L12" s="15"/>
      <c r="M12" s="16"/>
      <c r="N12" s="64"/>
      <c r="O12" s="82" t="s">
        <v>47</v>
      </c>
      <c r="P12" s="82">
        <f>D13</f>
        <v>8.4</v>
      </c>
      <c r="S12" s="58" t="s">
        <v>70</v>
      </c>
      <c r="T12" s="69">
        <v>836</v>
      </c>
      <c r="U12" s="69">
        <v>1754</v>
      </c>
      <c r="AE12" s="15"/>
      <c r="AF12" s="15"/>
      <c r="AG12" s="15"/>
      <c r="AH12" s="15"/>
      <c r="AI12" s="15"/>
      <c r="AJ12" s="15"/>
      <c r="AK12" s="15"/>
      <c r="AL12" s="15"/>
      <c r="AM12" s="15"/>
      <c r="AN12" s="15"/>
      <c r="AO12" s="15"/>
      <c r="AP12" s="15"/>
      <c r="AQ12" s="15"/>
    </row>
    <row r="13" spans="2:43" x14ac:dyDescent="0.35">
      <c r="B13" s="66" t="s">
        <v>25</v>
      </c>
      <c r="C13" s="15" t="s">
        <v>27</v>
      </c>
      <c r="D13" s="154">
        <v>8.4</v>
      </c>
      <c r="E13" s="15" t="s">
        <v>50</v>
      </c>
      <c r="F13" s="15"/>
      <c r="G13" s="15"/>
      <c r="H13" s="15"/>
      <c r="I13" s="15"/>
      <c r="J13" s="15"/>
      <c r="K13" s="15"/>
      <c r="L13" s="15"/>
      <c r="M13" s="16"/>
      <c r="N13" s="64"/>
      <c r="O13" s="82" t="s">
        <v>48</v>
      </c>
      <c r="P13" s="82">
        <v>1</v>
      </c>
      <c r="S13" s="58" t="s">
        <v>69</v>
      </c>
      <c r="T13" s="69">
        <v>645</v>
      </c>
      <c r="U13" s="69">
        <v>1266</v>
      </c>
      <c r="AE13" s="15"/>
      <c r="AF13" s="15"/>
      <c r="AG13" s="15"/>
      <c r="AH13" s="15"/>
      <c r="AI13" s="15"/>
      <c r="AJ13" s="15"/>
      <c r="AK13" s="15"/>
      <c r="AL13" s="15"/>
      <c r="AM13" s="15"/>
      <c r="AN13" s="15"/>
      <c r="AO13" s="15"/>
      <c r="AP13" s="15"/>
      <c r="AQ13" s="15"/>
    </row>
    <row r="14" spans="2:43" x14ac:dyDescent="0.35">
      <c r="B14" s="66" t="s">
        <v>26</v>
      </c>
      <c r="C14" s="15" t="s">
        <v>27</v>
      </c>
      <c r="D14" s="91">
        <f>VLOOKUP(D13,Y2:Z6,2)</f>
        <v>14</v>
      </c>
      <c r="E14" s="15" t="s">
        <v>38</v>
      </c>
      <c r="F14" s="15"/>
      <c r="G14" s="15"/>
      <c r="H14" s="15"/>
      <c r="I14" s="15"/>
      <c r="J14" s="15"/>
      <c r="K14" s="15"/>
      <c r="L14" s="15"/>
      <c r="M14" s="16"/>
      <c r="N14" s="64"/>
      <c r="O14" s="82" t="s">
        <v>60</v>
      </c>
      <c r="P14" s="82">
        <f>E5</f>
        <v>10781.92</v>
      </c>
      <c r="S14" s="58" t="s">
        <v>68</v>
      </c>
      <c r="T14" s="69">
        <v>656</v>
      </c>
      <c r="U14" s="69">
        <v>1288</v>
      </c>
      <c r="AE14" s="15"/>
      <c r="AF14" s="15"/>
      <c r="AG14" s="15"/>
      <c r="AH14" s="15"/>
      <c r="AI14" s="15"/>
      <c r="AJ14" s="15"/>
      <c r="AK14" s="15"/>
      <c r="AL14" s="15"/>
      <c r="AM14" s="15"/>
      <c r="AN14" s="15"/>
      <c r="AO14" s="15"/>
      <c r="AP14" s="15"/>
      <c r="AQ14" s="15"/>
    </row>
    <row r="15" spans="2:43" x14ac:dyDescent="0.35">
      <c r="B15" s="66"/>
      <c r="C15" s="45"/>
      <c r="D15" s="15"/>
      <c r="E15" s="15"/>
      <c r="F15" s="15"/>
      <c r="G15" s="15"/>
      <c r="H15" s="15"/>
      <c r="I15" s="15"/>
      <c r="J15" s="15"/>
      <c r="K15" s="15"/>
      <c r="L15" s="15"/>
      <c r="M15" s="16"/>
      <c r="N15" s="64"/>
      <c r="O15" s="82" t="s">
        <v>49</v>
      </c>
      <c r="P15" s="83">
        <f>((P10*P11*(1/(P12*P13*(1-0))))/1000)*P14/1000000</f>
        <v>77.937878857142849</v>
      </c>
      <c r="AE15" s="15"/>
      <c r="AF15" s="15"/>
      <c r="AG15" s="15"/>
      <c r="AH15" s="15"/>
      <c r="AI15" s="15"/>
      <c r="AJ15" s="15"/>
      <c r="AK15" s="15"/>
      <c r="AL15" s="15"/>
      <c r="AM15" s="15"/>
      <c r="AN15" s="15"/>
      <c r="AO15" s="15"/>
      <c r="AP15" s="15"/>
      <c r="AQ15" s="15"/>
    </row>
    <row r="16" spans="2:43" ht="14.25" customHeight="1" thickBot="1" x14ac:dyDescent="0.4">
      <c r="B16" s="275" t="s">
        <v>30</v>
      </c>
      <c r="C16" s="276" t="s">
        <v>31</v>
      </c>
      <c r="D16" s="276"/>
      <c r="E16" s="277" t="s">
        <v>32</v>
      </c>
      <c r="F16" s="269" t="s">
        <v>33</v>
      </c>
      <c r="G16" s="269"/>
      <c r="H16" s="277" t="s">
        <v>12</v>
      </c>
      <c r="I16" s="267" t="s">
        <v>34</v>
      </c>
      <c r="J16" s="267"/>
      <c r="K16" s="268" t="s">
        <v>12</v>
      </c>
      <c r="L16" s="269" t="s">
        <v>35</v>
      </c>
      <c r="M16" s="270"/>
      <c r="N16" s="64"/>
      <c r="O16" s="150" t="s">
        <v>122</v>
      </c>
      <c r="P16" s="82">
        <f>P10*P11/1000000</f>
        <v>60.72</v>
      </c>
      <c r="Q16" t="s">
        <v>124</v>
      </c>
      <c r="S16" s="72" t="s">
        <v>65</v>
      </c>
      <c r="T16" s="72" t="s">
        <v>66</v>
      </c>
    </row>
    <row r="17" spans="2:23" x14ac:dyDescent="0.35">
      <c r="B17" s="275"/>
      <c r="C17" s="276"/>
      <c r="D17" s="276"/>
      <c r="E17" s="277"/>
      <c r="F17" s="269"/>
      <c r="G17" s="269"/>
      <c r="H17" s="277"/>
      <c r="I17" s="267"/>
      <c r="J17" s="267"/>
      <c r="K17" s="268"/>
      <c r="L17" s="269"/>
      <c r="M17" s="270"/>
      <c r="N17" s="64"/>
      <c r="O17" s="82" t="s">
        <v>29</v>
      </c>
      <c r="P17" s="84">
        <f>D10</f>
        <v>0.8</v>
      </c>
      <c r="Q17" s="1"/>
      <c r="R17" s="1"/>
      <c r="S17" s="70" t="s">
        <v>71</v>
      </c>
      <c r="T17" s="71">
        <v>512</v>
      </c>
    </row>
    <row r="18" spans="2:23" x14ac:dyDescent="0.35">
      <c r="B18" s="66"/>
      <c r="C18" s="45"/>
      <c r="D18" s="15"/>
      <c r="E18" s="15"/>
      <c r="F18" s="15"/>
      <c r="G18" s="15"/>
      <c r="H18" s="15"/>
      <c r="I18" s="15"/>
      <c r="J18" s="15"/>
      <c r="K18" s="15"/>
      <c r="L18" s="15"/>
      <c r="M18" s="16"/>
      <c r="N18" s="64"/>
      <c r="O18" s="82" t="s">
        <v>51</v>
      </c>
      <c r="P18" s="82">
        <f>P16/P17</f>
        <v>75.899999999999991</v>
      </c>
      <c r="Q18" t="s">
        <v>124</v>
      </c>
      <c r="S18" s="58" t="s">
        <v>72</v>
      </c>
      <c r="T18" s="69">
        <v>570</v>
      </c>
      <c r="W18" s="2" t="s">
        <v>127</v>
      </c>
    </row>
    <row r="19" spans="2:23" x14ac:dyDescent="0.35">
      <c r="B19" s="66" t="s">
        <v>30</v>
      </c>
      <c r="C19" s="79">
        <f>P18</f>
        <v>75.899999999999991</v>
      </c>
      <c r="D19" s="47" t="s">
        <v>36</v>
      </c>
      <c r="E19" s="45" t="s">
        <v>32</v>
      </c>
      <c r="F19" s="48">
        <f>P25</f>
        <v>0</v>
      </c>
      <c r="G19" s="48" t="s">
        <v>36</v>
      </c>
      <c r="H19" s="45" t="s">
        <v>12</v>
      </c>
      <c r="I19" s="80">
        <f>P15</f>
        <v>77.937878857142849</v>
      </c>
      <c r="J19" s="48" t="s">
        <v>36</v>
      </c>
      <c r="K19" s="45" t="s">
        <v>12</v>
      </c>
      <c r="L19" s="80">
        <f>P26</f>
        <v>15.276440365714283</v>
      </c>
      <c r="M19" s="49" t="s">
        <v>36</v>
      </c>
      <c r="N19" s="64"/>
      <c r="O19" s="82" t="s">
        <v>52</v>
      </c>
      <c r="P19" s="82">
        <v>34800</v>
      </c>
      <c r="Q19" t="s">
        <v>75</v>
      </c>
      <c r="S19" s="58" t="s">
        <v>70</v>
      </c>
      <c r="T19" s="69">
        <v>730</v>
      </c>
    </row>
    <row r="20" spans="2:23" x14ac:dyDescent="0.35">
      <c r="B20" s="66"/>
      <c r="C20" s="172"/>
      <c r="D20" s="173"/>
      <c r="E20" s="89"/>
      <c r="F20" s="173"/>
      <c r="G20" s="173"/>
      <c r="H20" s="89"/>
      <c r="I20" s="174"/>
      <c r="J20" s="173"/>
      <c r="K20" s="89"/>
      <c r="L20" s="174"/>
      <c r="M20" s="175"/>
      <c r="N20" s="64"/>
      <c r="O20" s="82"/>
      <c r="P20" s="82"/>
      <c r="S20" s="58"/>
      <c r="T20" s="69"/>
    </row>
    <row r="21" spans="2:23" x14ac:dyDescent="0.35">
      <c r="B21" s="66" t="s">
        <v>160</v>
      </c>
      <c r="C21" s="176">
        <f>C19-I19</f>
        <v>-2.0378788571428572</v>
      </c>
      <c r="D21" s="15" t="s">
        <v>36</v>
      </c>
      <c r="E21" s="15"/>
      <c r="F21" s="15"/>
      <c r="G21" s="15"/>
      <c r="H21" s="15"/>
      <c r="I21" s="15"/>
      <c r="J21" s="15"/>
      <c r="K21" s="15"/>
      <c r="L21" s="15"/>
      <c r="M21" s="16"/>
      <c r="N21" s="64"/>
      <c r="O21" s="82" t="s">
        <v>74</v>
      </c>
      <c r="P21" s="85">
        <f>VLOOKUP(C12,S17:T23,2)</f>
        <v>570</v>
      </c>
      <c r="S21" s="58" t="s">
        <v>69</v>
      </c>
      <c r="T21" s="69">
        <v>1035</v>
      </c>
    </row>
    <row r="22" spans="2:23" ht="15" thickBot="1" x14ac:dyDescent="0.4">
      <c r="B22" s="66" t="s">
        <v>161</v>
      </c>
      <c r="C22" s="177">
        <f>F19-L19</f>
        <v>-15.276440365714283</v>
      </c>
      <c r="D22" s="15" t="s">
        <v>36</v>
      </c>
      <c r="E22" s="15"/>
      <c r="F22" s="15"/>
      <c r="G22" s="15"/>
      <c r="H22" s="15"/>
      <c r="I22" s="15"/>
      <c r="J22" s="15"/>
      <c r="K22" s="15"/>
      <c r="L22" s="15"/>
      <c r="M22" s="16"/>
      <c r="N22" s="64"/>
      <c r="O22" s="82"/>
      <c r="P22" s="85"/>
      <c r="S22" s="58"/>
      <c r="T22" s="69"/>
    </row>
    <row r="23" spans="2:23" ht="15" thickBot="1" x14ac:dyDescent="0.4">
      <c r="B23" s="77" t="s">
        <v>30</v>
      </c>
      <c r="C23" s="81">
        <f>C19+F19-I19-L19</f>
        <v>-17.31431922285714</v>
      </c>
      <c r="D23" s="54" t="s">
        <v>36</v>
      </c>
      <c r="E23" s="15"/>
      <c r="F23" s="15"/>
      <c r="G23" s="15"/>
      <c r="H23" s="15"/>
      <c r="I23" s="15"/>
      <c r="J23" s="15"/>
      <c r="K23" s="15"/>
      <c r="L23" s="15"/>
      <c r="M23" s="16"/>
      <c r="N23" s="64"/>
      <c r="O23" s="82" t="s">
        <v>53</v>
      </c>
      <c r="P23" s="82">
        <f>D11</f>
        <v>0</v>
      </c>
      <c r="S23" s="58" t="s">
        <v>68</v>
      </c>
      <c r="T23" s="69">
        <v>903</v>
      </c>
    </row>
    <row r="24" spans="2:23" x14ac:dyDescent="0.35">
      <c r="B24" s="66"/>
      <c r="C24" s="45"/>
      <c r="D24" s="15"/>
      <c r="E24" s="15"/>
      <c r="F24" s="15"/>
      <c r="G24" s="15"/>
      <c r="H24" s="15"/>
      <c r="I24" s="15"/>
      <c r="J24" s="15"/>
      <c r="K24" s="15"/>
      <c r="L24" s="15"/>
      <c r="M24" s="16"/>
      <c r="N24" s="64"/>
      <c r="O24" s="82" t="s">
        <v>54</v>
      </c>
      <c r="P24" s="82">
        <f>D14</f>
        <v>14</v>
      </c>
    </row>
    <row r="25" spans="2:23" x14ac:dyDescent="0.35">
      <c r="B25" s="271" t="s">
        <v>126</v>
      </c>
      <c r="C25" s="273" t="str">
        <f>IF(C23&lt;0, AF8,W18)</f>
        <v>NO. Measure results in negative source energy savings.  This means more energy will be required to meet the heating and cooling end uses after intervention by the EE program compared to what is currently required.</v>
      </c>
      <c r="D25" s="273"/>
      <c r="E25" s="273"/>
      <c r="F25" s="273"/>
      <c r="G25" s="273"/>
      <c r="H25" s="273"/>
      <c r="I25" s="273"/>
      <c r="J25" s="273"/>
      <c r="K25" s="273"/>
      <c r="L25" s="273"/>
      <c r="M25" s="16"/>
      <c r="N25" s="64"/>
      <c r="O25" s="82" t="s">
        <v>55</v>
      </c>
      <c r="P25" s="82">
        <f>IF(P23=0,0, (P21*P19*(1/P23)/1000)*P14/1000000)</f>
        <v>0</v>
      </c>
    </row>
    <row r="26" spans="2:23" x14ac:dyDescent="0.35">
      <c r="B26" s="272"/>
      <c r="C26" s="274"/>
      <c r="D26" s="274"/>
      <c r="E26" s="274"/>
      <c r="F26" s="274"/>
      <c r="G26" s="274"/>
      <c r="H26" s="274"/>
      <c r="I26" s="274"/>
      <c r="J26" s="274"/>
      <c r="K26" s="274"/>
      <c r="L26" s="274"/>
      <c r="M26" s="18"/>
      <c r="N26" s="65"/>
      <c r="O26" s="82" t="s">
        <v>56</v>
      </c>
      <c r="P26" s="83">
        <f>(P21*P19*(1/P24)/1000)*P14/1000000</f>
        <v>15.276440365714283</v>
      </c>
    </row>
    <row r="28" spans="2:23" ht="2.75" customHeight="1" x14ac:dyDescent="0.35"/>
    <row r="29" spans="2:23" ht="18.5" x14ac:dyDescent="0.45">
      <c r="B29" s="76" t="s">
        <v>179</v>
      </c>
      <c r="C29" s="50"/>
      <c r="D29" s="51"/>
      <c r="E29" s="51"/>
      <c r="F29" s="51"/>
      <c r="G29" s="51"/>
      <c r="H29" s="51"/>
      <c r="I29" s="51"/>
      <c r="J29" s="51"/>
      <c r="K29" s="51"/>
      <c r="L29" s="51"/>
      <c r="M29" s="52"/>
      <c r="N29" s="62"/>
      <c r="O29" s="62"/>
      <c r="P29" s="63"/>
    </row>
    <row r="30" spans="2:23" x14ac:dyDescent="0.35">
      <c r="B30" s="66"/>
      <c r="C30" s="45"/>
      <c r="D30" s="15"/>
      <c r="E30" s="15"/>
      <c r="F30" s="15"/>
      <c r="G30" s="15"/>
      <c r="H30" s="15"/>
      <c r="I30" s="15"/>
      <c r="J30" s="15"/>
      <c r="K30" s="15"/>
      <c r="L30" s="15"/>
      <c r="M30" s="16"/>
      <c r="N30" s="64"/>
      <c r="O30" s="265" t="s">
        <v>58</v>
      </c>
      <c r="P30" s="266"/>
    </row>
    <row r="31" spans="2:23" x14ac:dyDescent="0.35">
      <c r="B31" s="66" t="s">
        <v>23</v>
      </c>
      <c r="C31" s="45" t="s">
        <v>28</v>
      </c>
      <c r="D31" s="90">
        <f>D10</f>
        <v>0.8</v>
      </c>
      <c r="E31" s="15" t="s">
        <v>29</v>
      </c>
      <c r="F31" s="15"/>
      <c r="G31" s="15"/>
      <c r="H31" s="15"/>
      <c r="I31" s="15"/>
      <c r="J31" s="15"/>
      <c r="K31" s="15"/>
      <c r="L31" s="15"/>
      <c r="M31" s="16"/>
      <c r="N31" s="64"/>
      <c r="O31" s="82" t="s">
        <v>46</v>
      </c>
      <c r="P31" s="82">
        <f>VLOOKUP(C12, S10:U14,3, )</f>
        <v>1840</v>
      </c>
    </row>
    <row r="32" spans="2:23" x14ac:dyDescent="0.35">
      <c r="B32" s="66" t="s">
        <v>24</v>
      </c>
      <c r="C32" s="98" t="s">
        <v>22</v>
      </c>
      <c r="D32" s="86">
        <v>13</v>
      </c>
      <c r="E32" s="15" t="s">
        <v>38</v>
      </c>
      <c r="F32" s="15"/>
      <c r="G32" s="15"/>
      <c r="H32" s="15"/>
      <c r="I32" s="15"/>
      <c r="J32" s="15"/>
      <c r="K32" s="15"/>
      <c r="L32" s="15"/>
      <c r="M32" s="16"/>
      <c r="N32" s="64"/>
      <c r="O32" s="82" t="s">
        <v>45</v>
      </c>
      <c r="P32" s="82">
        <v>33000</v>
      </c>
    </row>
    <row r="33" spans="2:17" x14ac:dyDescent="0.35">
      <c r="B33" s="66" t="s">
        <v>57</v>
      </c>
      <c r="C33" s="46" t="str">
        <f>C12</f>
        <v>2 (Chicago, IL)</v>
      </c>
      <c r="D33" s="89"/>
      <c r="E33" s="15"/>
      <c r="F33" s="15"/>
      <c r="G33" s="15"/>
      <c r="H33" s="15"/>
      <c r="I33" s="15"/>
      <c r="J33" s="15"/>
      <c r="K33" s="15"/>
      <c r="L33" s="15"/>
      <c r="M33" s="16"/>
      <c r="N33" s="64"/>
      <c r="O33" s="82" t="s">
        <v>47</v>
      </c>
      <c r="P33" s="82">
        <f>D34</f>
        <v>8.4</v>
      </c>
    </row>
    <row r="34" spans="2:17" x14ac:dyDescent="0.35">
      <c r="B34" s="66" t="s">
        <v>25</v>
      </c>
      <c r="C34" s="15" t="s">
        <v>27</v>
      </c>
      <c r="D34" s="91">
        <f>D13</f>
        <v>8.4</v>
      </c>
      <c r="E34" s="15" t="s">
        <v>50</v>
      </c>
      <c r="F34" s="15"/>
      <c r="G34" s="15"/>
      <c r="H34" s="15"/>
      <c r="I34" s="15"/>
      <c r="J34" s="15"/>
      <c r="K34" s="15"/>
      <c r="L34" s="15"/>
      <c r="M34" s="16"/>
      <c r="N34" s="64"/>
      <c r="O34" s="82" t="s">
        <v>48</v>
      </c>
      <c r="P34" s="82">
        <v>1</v>
      </c>
    </row>
    <row r="35" spans="2:17" x14ac:dyDescent="0.35">
      <c r="B35" s="66" t="s">
        <v>26</v>
      </c>
      <c r="C35" s="15" t="s">
        <v>27</v>
      </c>
      <c r="D35" s="91">
        <f>D14</f>
        <v>14</v>
      </c>
      <c r="E35" s="11" t="s">
        <v>38</v>
      </c>
      <c r="F35" s="15"/>
      <c r="G35" s="15"/>
      <c r="H35" s="15"/>
      <c r="I35" s="15"/>
      <c r="J35" s="15"/>
      <c r="K35" s="15"/>
      <c r="L35" s="15"/>
      <c r="M35" s="16"/>
      <c r="N35" s="64"/>
      <c r="O35" s="82" t="s">
        <v>60</v>
      </c>
      <c r="P35" s="82">
        <f>E5</f>
        <v>10781.92</v>
      </c>
    </row>
    <row r="36" spans="2:17" x14ac:dyDescent="0.35">
      <c r="B36" s="66"/>
      <c r="C36" s="45"/>
      <c r="D36" s="15"/>
      <c r="E36" s="15"/>
      <c r="F36" s="15"/>
      <c r="G36" s="15"/>
      <c r="H36" s="15"/>
      <c r="I36" s="15"/>
      <c r="J36" s="15"/>
      <c r="K36" s="15"/>
      <c r="L36" s="15"/>
      <c r="M36" s="16"/>
      <c r="N36" s="64"/>
      <c r="O36" s="82" t="s">
        <v>49</v>
      </c>
      <c r="P36" s="83">
        <f>((P31*P32*(1/(P33*P34*(1-0))))/1000)*P35/1000000</f>
        <v>77.937878857142849</v>
      </c>
    </row>
    <row r="37" spans="2:17" x14ac:dyDescent="0.35">
      <c r="B37" s="275" t="s">
        <v>30</v>
      </c>
      <c r="C37" s="276" t="s">
        <v>31</v>
      </c>
      <c r="D37" s="276"/>
      <c r="E37" s="277" t="s">
        <v>32</v>
      </c>
      <c r="F37" s="269" t="s">
        <v>33</v>
      </c>
      <c r="G37" s="269"/>
      <c r="H37" s="277" t="s">
        <v>12</v>
      </c>
      <c r="I37" s="267" t="s">
        <v>34</v>
      </c>
      <c r="J37" s="267"/>
      <c r="K37" s="268" t="s">
        <v>12</v>
      </c>
      <c r="L37" s="269" t="s">
        <v>35</v>
      </c>
      <c r="M37" s="270"/>
      <c r="N37" s="64"/>
      <c r="O37" s="150" t="s">
        <v>122</v>
      </c>
      <c r="P37" s="82">
        <f>P31*P32/1000000</f>
        <v>60.72</v>
      </c>
      <c r="Q37" t="s">
        <v>124</v>
      </c>
    </row>
    <row r="38" spans="2:17" x14ac:dyDescent="0.35">
      <c r="B38" s="275"/>
      <c r="C38" s="276"/>
      <c r="D38" s="276"/>
      <c r="E38" s="277"/>
      <c r="F38" s="269"/>
      <c r="G38" s="269"/>
      <c r="H38" s="277"/>
      <c r="I38" s="267"/>
      <c r="J38" s="267"/>
      <c r="K38" s="268"/>
      <c r="L38" s="269"/>
      <c r="M38" s="270"/>
      <c r="N38" s="64"/>
      <c r="O38" s="82" t="s">
        <v>29</v>
      </c>
      <c r="P38" s="84">
        <f>D31</f>
        <v>0.8</v>
      </c>
    </row>
    <row r="39" spans="2:17" x14ac:dyDescent="0.35">
      <c r="B39" s="66"/>
      <c r="C39" s="45"/>
      <c r="D39" s="15"/>
      <c r="E39" s="15"/>
      <c r="F39" s="15"/>
      <c r="G39" s="15"/>
      <c r="H39" s="15"/>
      <c r="I39" s="15"/>
      <c r="J39" s="15"/>
      <c r="K39" s="15"/>
      <c r="L39" s="15"/>
      <c r="M39" s="16"/>
      <c r="N39" s="64"/>
      <c r="O39" s="82" t="s">
        <v>51</v>
      </c>
      <c r="P39" s="82">
        <f>P37/P38</f>
        <v>75.899999999999991</v>
      </c>
      <c r="Q39" t="s">
        <v>124</v>
      </c>
    </row>
    <row r="40" spans="2:17" x14ac:dyDescent="0.35">
      <c r="B40" s="66" t="s">
        <v>30</v>
      </c>
      <c r="C40" s="79">
        <f>P39</f>
        <v>75.899999999999991</v>
      </c>
      <c r="D40" s="47" t="s">
        <v>36</v>
      </c>
      <c r="E40" s="45" t="s">
        <v>32</v>
      </c>
      <c r="F40" s="80">
        <f>P46</f>
        <v>16.451551163076925</v>
      </c>
      <c r="G40" s="48" t="s">
        <v>36</v>
      </c>
      <c r="H40" s="45" t="s">
        <v>12</v>
      </c>
      <c r="I40" s="80">
        <f>P36</f>
        <v>77.937878857142849</v>
      </c>
      <c r="J40" s="48" t="s">
        <v>36</v>
      </c>
      <c r="K40" s="45" t="s">
        <v>12</v>
      </c>
      <c r="L40" s="80">
        <f>P47</f>
        <v>15.276440365714283</v>
      </c>
      <c r="M40" s="49" t="s">
        <v>36</v>
      </c>
      <c r="N40" s="64"/>
      <c r="O40" s="82" t="s">
        <v>52</v>
      </c>
      <c r="P40" s="82">
        <v>34800</v>
      </c>
    </row>
    <row r="41" spans="2:17" x14ac:dyDescent="0.35">
      <c r="B41" s="66"/>
      <c r="C41" s="45"/>
      <c r="D41" s="15"/>
      <c r="E41" s="15"/>
      <c r="F41" s="15"/>
      <c r="G41" s="15"/>
      <c r="H41" s="15"/>
      <c r="I41" s="15"/>
      <c r="J41" s="15"/>
      <c r="K41" s="15"/>
      <c r="L41" s="15"/>
      <c r="M41" s="16"/>
      <c r="N41" s="64"/>
      <c r="O41" s="82" t="s">
        <v>74</v>
      </c>
      <c r="P41" s="85">
        <f>VLOOKUP(C12,S17:T23,2)</f>
        <v>570</v>
      </c>
    </row>
    <row r="42" spans="2:17" x14ac:dyDescent="0.35">
      <c r="B42" s="66" t="s">
        <v>160</v>
      </c>
      <c r="C42" s="176">
        <f>C40-I40</f>
        <v>-2.0378788571428572</v>
      </c>
      <c r="D42" s="15" t="s">
        <v>36</v>
      </c>
      <c r="E42" s="15"/>
      <c r="F42" s="15"/>
      <c r="G42" s="15"/>
      <c r="H42" s="15"/>
      <c r="I42" s="15"/>
      <c r="J42" s="15"/>
      <c r="K42" s="15"/>
      <c r="L42" s="15"/>
      <c r="M42" s="16"/>
      <c r="N42" s="64"/>
      <c r="O42" s="82"/>
      <c r="P42" s="85"/>
    </row>
    <row r="43" spans="2:17" ht="15" thickBot="1" x14ac:dyDescent="0.4">
      <c r="B43" s="66" t="s">
        <v>161</v>
      </c>
      <c r="C43" s="177">
        <f>F40-L40</f>
        <v>1.1751107973626418</v>
      </c>
      <c r="D43" s="15" t="s">
        <v>36</v>
      </c>
      <c r="E43" s="15"/>
      <c r="F43" s="15"/>
      <c r="G43" s="15"/>
      <c r="H43" s="15"/>
      <c r="I43" s="15"/>
      <c r="J43" s="15"/>
      <c r="K43" s="15"/>
      <c r="L43" s="15"/>
      <c r="M43" s="16"/>
      <c r="N43" s="64"/>
      <c r="O43" s="82"/>
      <c r="P43" s="85"/>
    </row>
    <row r="44" spans="2:17" ht="15" thickBot="1" x14ac:dyDescent="0.4">
      <c r="B44" s="74" t="s">
        <v>30</v>
      </c>
      <c r="C44" s="81">
        <f>C40+F40-I40-L40</f>
        <v>-0.86276805978021187</v>
      </c>
      <c r="D44" s="54" t="s">
        <v>36</v>
      </c>
      <c r="E44" s="15"/>
      <c r="F44" s="15"/>
      <c r="G44" s="15"/>
      <c r="H44" s="15"/>
      <c r="I44" s="15"/>
      <c r="J44" s="15"/>
      <c r="K44" s="15"/>
      <c r="L44" s="15"/>
      <c r="M44" s="16"/>
      <c r="N44" s="64"/>
      <c r="O44" s="82" t="s">
        <v>53</v>
      </c>
      <c r="P44" s="82">
        <f>D32</f>
        <v>13</v>
      </c>
    </row>
    <row r="45" spans="2:17" x14ac:dyDescent="0.35">
      <c r="B45" s="66"/>
      <c r="C45" s="45"/>
      <c r="D45" s="15"/>
      <c r="E45" s="15"/>
      <c r="F45" s="15"/>
      <c r="G45" s="15"/>
      <c r="H45" s="15"/>
      <c r="I45" s="15"/>
      <c r="J45" s="15"/>
      <c r="K45" s="15"/>
      <c r="L45" s="15"/>
      <c r="M45" s="16"/>
      <c r="N45" s="64"/>
      <c r="O45" s="82" t="s">
        <v>54</v>
      </c>
      <c r="P45" s="82">
        <f>D35</f>
        <v>14</v>
      </c>
    </row>
    <row r="46" spans="2:17" x14ac:dyDescent="0.35">
      <c r="B46" s="271" t="s">
        <v>37</v>
      </c>
      <c r="C46" s="278" t="str">
        <f>IF(C44&lt;0,AF8,W18)</f>
        <v>NO. Measure results in negative source energy savings.  This means more energy will be required to meet the heating and cooling end uses after intervention by the EE program compared to what is currently required.</v>
      </c>
      <c r="D46" s="278"/>
      <c r="E46" s="278"/>
      <c r="F46" s="278"/>
      <c r="G46" s="278"/>
      <c r="H46" s="278"/>
      <c r="I46" s="278"/>
      <c r="J46" s="278"/>
      <c r="K46" s="278"/>
      <c r="L46" s="278"/>
      <c r="M46" s="279"/>
      <c r="N46" s="64"/>
      <c r="O46" s="82" t="s">
        <v>55</v>
      </c>
      <c r="P46" s="82">
        <f>(P41*P40*(1/P44)/1000)*P35/1000000</f>
        <v>16.451551163076925</v>
      </c>
    </row>
    <row r="47" spans="2:17" x14ac:dyDescent="0.35">
      <c r="B47" s="272"/>
      <c r="C47" s="280"/>
      <c r="D47" s="280"/>
      <c r="E47" s="280"/>
      <c r="F47" s="280"/>
      <c r="G47" s="280"/>
      <c r="H47" s="280"/>
      <c r="I47" s="280"/>
      <c r="J47" s="280"/>
      <c r="K47" s="280"/>
      <c r="L47" s="280"/>
      <c r="M47" s="281"/>
      <c r="N47" s="65"/>
      <c r="O47" s="82" t="s">
        <v>56</v>
      </c>
      <c r="P47" s="83">
        <f>(P41*P40*(1/P45)/1000)*P35/1000000</f>
        <v>15.276440365714283</v>
      </c>
    </row>
    <row r="49" spans="2:17" ht="20.399999999999999" customHeight="1" x14ac:dyDescent="0.35"/>
    <row r="50" spans="2:17" ht="18.5" x14ac:dyDescent="0.45">
      <c r="B50" s="76" t="s">
        <v>180</v>
      </c>
      <c r="C50" s="50"/>
      <c r="D50" s="51"/>
      <c r="E50" s="51"/>
      <c r="F50" s="51"/>
      <c r="G50" s="51"/>
      <c r="H50" s="51"/>
      <c r="I50" s="51"/>
      <c r="J50" s="51"/>
      <c r="K50" s="51"/>
      <c r="L50" s="51"/>
      <c r="M50" s="52"/>
      <c r="N50" s="62"/>
      <c r="O50" s="62"/>
      <c r="P50" s="63"/>
    </row>
    <row r="51" spans="2:17" hidden="1" x14ac:dyDescent="0.35">
      <c r="B51" s="66"/>
      <c r="C51" s="45"/>
      <c r="D51" s="15"/>
      <c r="E51" s="15"/>
      <c r="F51" s="15"/>
      <c r="G51" s="15"/>
      <c r="H51" s="15"/>
      <c r="I51" s="15"/>
      <c r="J51" s="15"/>
      <c r="K51" s="15"/>
      <c r="L51" s="15"/>
      <c r="M51" s="16"/>
      <c r="N51" s="64"/>
      <c r="O51" s="265" t="s">
        <v>58</v>
      </c>
      <c r="P51" s="266"/>
    </row>
    <row r="52" spans="2:17" hidden="1" x14ac:dyDescent="0.35">
      <c r="B52" s="66" t="s">
        <v>23</v>
      </c>
      <c r="C52" s="45" t="s">
        <v>28</v>
      </c>
      <c r="D52" s="90">
        <f>D31</f>
        <v>0.8</v>
      </c>
      <c r="E52" s="15" t="s">
        <v>29</v>
      </c>
      <c r="F52" s="15"/>
      <c r="G52" s="15"/>
      <c r="H52" s="15"/>
      <c r="I52" s="15"/>
      <c r="J52" s="15"/>
      <c r="K52" s="15"/>
      <c r="L52" s="15"/>
      <c r="M52" s="16"/>
      <c r="N52" s="64"/>
      <c r="O52" s="82" t="s">
        <v>59</v>
      </c>
      <c r="P52" s="82">
        <f>VLOOKUP(C12, S10:U14,3, )</f>
        <v>1840</v>
      </c>
    </row>
    <row r="53" spans="2:17" hidden="1" x14ac:dyDescent="0.35">
      <c r="B53" s="66" t="s">
        <v>24</v>
      </c>
      <c r="C53" s="45" t="s">
        <v>22</v>
      </c>
      <c r="D53" s="91">
        <f>D32</f>
        <v>13</v>
      </c>
      <c r="E53" s="15" t="s">
        <v>38</v>
      </c>
      <c r="F53" s="15"/>
      <c r="G53" s="15"/>
      <c r="H53" s="15"/>
      <c r="I53" s="15"/>
      <c r="J53" s="15"/>
      <c r="K53" s="15"/>
      <c r="L53" s="15"/>
      <c r="M53" s="16"/>
      <c r="N53" s="64"/>
      <c r="O53" s="82" t="s">
        <v>45</v>
      </c>
      <c r="P53" s="82">
        <v>33000</v>
      </c>
    </row>
    <row r="54" spans="2:17" hidden="1" x14ac:dyDescent="0.35">
      <c r="B54" s="66" t="s">
        <v>57</v>
      </c>
      <c r="C54" s="46" t="str">
        <f>C12</f>
        <v>2 (Chicago, IL)</v>
      </c>
      <c r="D54" s="89"/>
      <c r="E54" s="15"/>
      <c r="F54" s="15"/>
      <c r="G54" s="15"/>
      <c r="H54" s="15"/>
      <c r="I54" s="15"/>
      <c r="J54" s="15"/>
      <c r="K54" s="15"/>
      <c r="L54" s="15"/>
      <c r="M54" s="16"/>
      <c r="N54" s="64"/>
      <c r="O54" s="82" t="s">
        <v>47</v>
      </c>
      <c r="P54" s="82">
        <f>D55</f>
        <v>8.4</v>
      </c>
    </row>
    <row r="55" spans="2:17" hidden="1" x14ac:dyDescent="0.35">
      <c r="B55" s="66" t="s">
        <v>25</v>
      </c>
      <c r="C55" s="15" t="s">
        <v>27</v>
      </c>
      <c r="D55" s="91">
        <f>D34</f>
        <v>8.4</v>
      </c>
      <c r="E55" s="15" t="s">
        <v>50</v>
      </c>
      <c r="F55" s="15"/>
      <c r="G55" s="15"/>
      <c r="H55" s="15"/>
      <c r="I55" s="15"/>
      <c r="J55" s="15"/>
      <c r="K55" s="15"/>
      <c r="L55" s="15"/>
      <c r="M55" s="16"/>
      <c r="N55" s="64"/>
      <c r="O55" s="82" t="s">
        <v>48</v>
      </c>
      <c r="P55" s="82">
        <v>1</v>
      </c>
    </row>
    <row r="56" spans="2:17" hidden="1" x14ac:dyDescent="0.35">
      <c r="B56" s="66" t="s">
        <v>26</v>
      </c>
      <c r="C56" s="15" t="s">
        <v>27</v>
      </c>
      <c r="D56" s="91">
        <f>D35</f>
        <v>14</v>
      </c>
      <c r="E56" s="11" t="s">
        <v>38</v>
      </c>
      <c r="F56" s="15"/>
      <c r="G56" s="15"/>
      <c r="H56" s="15"/>
      <c r="I56" s="15"/>
      <c r="J56" s="15"/>
      <c r="K56" s="15"/>
      <c r="L56" s="15"/>
      <c r="M56" s="16"/>
      <c r="N56" s="64"/>
      <c r="O56" s="82" t="s">
        <v>60</v>
      </c>
      <c r="P56" s="82">
        <f>E5</f>
        <v>10781.92</v>
      </c>
    </row>
    <row r="57" spans="2:17" x14ac:dyDescent="0.35">
      <c r="B57" s="66"/>
      <c r="C57" s="45"/>
      <c r="D57" s="15"/>
      <c r="E57" s="15"/>
      <c r="F57" s="15"/>
      <c r="G57" s="15"/>
      <c r="H57" s="15"/>
      <c r="I57" s="15"/>
      <c r="J57" s="15"/>
      <c r="K57" s="15"/>
      <c r="L57" s="15"/>
      <c r="M57" s="16"/>
      <c r="N57" s="64"/>
      <c r="O57" s="82" t="s">
        <v>49</v>
      </c>
      <c r="P57" s="83">
        <f>((P52*P53*(1/(P54*P55*(1-0))))/1000)*P56/1000000</f>
        <v>77.937878857142849</v>
      </c>
    </row>
    <row r="58" spans="2:17" x14ac:dyDescent="0.35">
      <c r="B58" s="275" t="s">
        <v>30</v>
      </c>
      <c r="C58" s="282" t="s">
        <v>31</v>
      </c>
      <c r="D58" s="282"/>
      <c r="E58" s="277" t="s">
        <v>32</v>
      </c>
      <c r="F58" s="269" t="s">
        <v>33</v>
      </c>
      <c r="G58" s="269"/>
      <c r="H58" s="277" t="s">
        <v>12</v>
      </c>
      <c r="I58" s="267" t="s">
        <v>34</v>
      </c>
      <c r="J58" s="267"/>
      <c r="K58" s="268" t="s">
        <v>12</v>
      </c>
      <c r="L58" s="269" t="s">
        <v>35</v>
      </c>
      <c r="M58" s="270"/>
      <c r="N58" s="64"/>
      <c r="O58" s="150" t="s">
        <v>122</v>
      </c>
      <c r="P58" s="82">
        <f>P52*P53/1000000</f>
        <v>60.72</v>
      </c>
      <c r="Q58" t="s">
        <v>124</v>
      </c>
    </row>
    <row r="59" spans="2:17" x14ac:dyDescent="0.35">
      <c r="B59" s="275"/>
      <c r="C59" s="282"/>
      <c r="D59" s="282"/>
      <c r="E59" s="277"/>
      <c r="F59" s="269"/>
      <c r="G59" s="269"/>
      <c r="H59" s="277"/>
      <c r="I59" s="267"/>
      <c r="J59" s="267"/>
      <c r="K59" s="268"/>
      <c r="L59" s="269"/>
      <c r="M59" s="270"/>
      <c r="N59" s="64"/>
      <c r="O59" s="82" t="s">
        <v>29</v>
      </c>
      <c r="P59" s="84">
        <f>D52</f>
        <v>0.8</v>
      </c>
    </row>
    <row r="60" spans="2:17" x14ac:dyDescent="0.35">
      <c r="B60" s="66"/>
      <c r="C60" s="45"/>
      <c r="D60" s="15"/>
      <c r="E60" s="15"/>
      <c r="F60" s="15"/>
      <c r="G60" s="15"/>
      <c r="H60" s="15"/>
      <c r="I60" s="15"/>
      <c r="J60" s="15"/>
      <c r="K60" s="15"/>
      <c r="L60" s="15"/>
      <c r="M60" s="16"/>
      <c r="N60" s="64"/>
      <c r="O60" s="82" t="s">
        <v>51</v>
      </c>
      <c r="P60" s="82">
        <f>P58/P59</f>
        <v>75.899999999999991</v>
      </c>
      <c r="Q60" t="s">
        <v>124</v>
      </c>
    </row>
    <row r="61" spans="2:17" x14ac:dyDescent="0.35">
      <c r="B61" s="66" t="s">
        <v>30</v>
      </c>
      <c r="C61" s="56">
        <f>P60*1.01</f>
        <v>76.658999999999992</v>
      </c>
      <c r="D61" s="48" t="s">
        <v>36</v>
      </c>
      <c r="E61" s="45" t="s">
        <v>32</v>
      </c>
      <c r="F61" s="80">
        <f>P67</f>
        <v>16.451551163076925</v>
      </c>
      <c r="G61" s="48" t="s">
        <v>36</v>
      </c>
      <c r="H61" s="45" t="s">
        <v>12</v>
      </c>
      <c r="I61" s="80">
        <f>P57</f>
        <v>77.937878857142849</v>
      </c>
      <c r="J61" s="48" t="s">
        <v>36</v>
      </c>
      <c r="K61" s="45" t="s">
        <v>12</v>
      </c>
      <c r="L61" s="80">
        <f>P68</f>
        <v>15.276440365714283</v>
      </c>
      <c r="M61" s="49" t="s">
        <v>36</v>
      </c>
      <c r="N61" s="64"/>
      <c r="O61" s="82" t="s">
        <v>52</v>
      </c>
      <c r="P61" s="82">
        <v>34800</v>
      </c>
    </row>
    <row r="62" spans="2:17" x14ac:dyDescent="0.35">
      <c r="B62" s="66"/>
      <c r="C62" s="45"/>
      <c r="D62" s="15"/>
      <c r="E62" s="15"/>
      <c r="F62" s="15"/>
      <c r="G62" s="15"/>
      <c r="H62" s="15"/>
      <c r="I62" s="15"/>
      <c r="J62" s="15"/>
      <c r="K62" s="15"/>
      <c r="L62" s="15"/>
      <c r="M62" s="16"/>
      <c r="N62" s="64"/>
      <c r="O62" s="82" t="s">
        <v>74</v>
      </c>
      <c r="P62" s="85">
        <f>VLOOKUP(C12,S17:T23,2)</f>
        <v>570</v>
      </c>
    </row>
    <row r="63" spans="2:17" x14ac:dyDescent="0.35">
      <c r="B63" s="66" t="s">
        <v>160</v>
      </c>
      <c r="C63" s="176">
        <f>C61-I61</f>
        <v>-1.2788788571428569</v>
      </c>
      <c r="D63" s="15" t="s">
        <v>36</v>
      </c>
      <c r="E63" s="15"/>
      <c r="F63" s="15"/>
      <c r="G63" s="15"/>
      <c r="H63" s="15"/>
      <c r="I63" s="15"/>
      <c r="J63" s="15"/>
      <c r="K63" s="15"/>
      <c r="L63" s="15"/>
      <c r="M63" s="16"/>
      <c r="N63" s="64"/>
      <c r="O63" s="82"/>
      <c r="P63" s="85"/>
    </row>
    <row r="64" spans="2:17" ht="15" thickBot="1" x14ac:dyDescent="0.4">
      <c r="B64" s="66" t="s">
        <v>161</v>
      </c>
      <c r="C64" s="176">
        <f>F61-L61</f>
        <v>1.1751107973626418</v>
      </c>
      <c r="D64" s="15" t="s">
        <v>36</v>
      </c>
      <c r="E64" s="15"/>
      <c r="F64" s="15"/>
      <c r="G64" s="15"/>
      <c r="H64" s="15"/>
      <c r="I64" s="15"/>
      <c r="J64" s="15"/>
      <c r="K64" s="15"/>
      <c r="L64" s="15"/>
      <c r="M64" s="16"/>
      <c r="N64" s="64"/>
      <c r="O64" s="82"/>
      <c r="P64" s="85"/>
    </row>
    <row r="65" spans="2:17" ht="15" thickBot="1" x14ac:dyDescent="0.4">
      <c r="B65" s="74" t="s">
        <v>30</v>
      </c>
      <c r="C65" s="73">
        <f>C61+F61-I61-L61</f>
        <v>-0.10376805978021153</v>
      </c>
      <c r="D65" s="54" t="s">
        <v>36</v>
      </c>
      <c r="E65" s="15"/>
      <c r="F65" s="15"/>
      <c r="G65" s="15"/>
      <c r="H65" s="15"/>
      <c r="I65" s="15"/>
      <c r="J65" s="15"/>
      <c r="K65" s="15"/>
      <c r="L65" s="15"/>
      <c r="M65" s="16"/>
      <c r="N65" s="64"/>
      <c r="O65" s="82" t="s">
        <v>53</v>
      </c>
      <c r="P65" s="82">
        <f>D53</f>
        <v>13</v>
      </c>
    </row>
    <row r="66" spans="2:17" x14ac:dyDescent="0.35">
      <c r="B66" s="66"/>
      <c r="C66" s="45"/>
      <c r="D66" s="15"/>
      <c r="E66" s="15"/>
      <c r="F66" s="15"/>
      <c r="G66" s="15"/>
      <c r="H66" s="15"/>
      <c r="I66" s="15"/>
      <c r="J66" s="15"/>
      <c r="K66" s="15"/>
      <c r="L66" s="15"/>
      <c r="M66" s="16"/>
      <c r="N66" s="64"/>
      <c r="O66" s="82" t="s">
        <v>54</v>
      </c>
      <c r="P66" s="82">
        <f>D56</f>
        <v>14</v>
      </c>
    </row>
    <row r="67" spans="2:17" x14ac:dyDescent="0.35">
      <c r="B67" s="271" t="s">
        <v>37</v>
      </c>
      <c r="C67" s="278" t="str">
        <f>IF(C65&lt;0,AF8,W18)</f>
        <v>NO. Measure results in negative source energy savings.  This means more energy will be required to meet the heating and cooling end uses after intervention by the EE program compared to what is currently required.</v>
      </c>
      <c r="D67" s="278"/>
      <c r="E67" s="278"/>
      <c r="F67" s="278"/>
      <c r="G67" s="278"/>
      <c r="H67" s="278"/>
      <c r="I67" s="278"/>
      <c r="J67" s="278"/>
      <c r="K67" s="278"/>
      <c r="L67" s="278"/>
      <c r="M67" s="279"/>
      <c r="N67" s="64"/>
      <c r="O67" s="82" t="s">
        <v>55</v>
      </c>
      <c r="P67" s="82">
        <f>(P62*P61*(1/P65)/1000)*P56/1000000</f>
        <v>16.451551163076925</v>
      </c>
    </row>
    <row r="68" spans="2:17" x14ac:dyDescent="0.35">
      <c r="B68" s="272"/>
      <c r="C68" s="280"/>
      <c r="D68" s="280"/>
      <c r="E68" s="280"/>
      <c r="F68" s="280"/>
      <c r="G68" s="280"/>
      <c r="H68" s="280"/>
      <c r="I68" s="280"/>
      <c r="J68" s="280"/>
      <c r="K68" s="280"/>
      <c r="L68" s="280"/>
      <c r="M68" s="281"/>
      <c r="N68" s="65"/>
      <c r="O68" s="82" t="s">
        <v>56</v>
      </c>
      <c r="P68" s="83">
        <f>(P62*P61*(1/P66)/1000)*P56/1000000</f>
        <v>15.276440365714283</v>
      </c>
    </row>
    <row r="70" spans="2:17" ht="10.9" customHeight="1" x14ac:dyDescent="0.35"/>
    <row r="71" spans="2:17" ht="18.5" x14ac:dyDescent="0.45">
      <c r="B71" s="76" t="s">
        <v>181</v>
      </c>
      <c r="C71" s="50"/>
      <c r="D71" s="51"/>
      <c r="E71" s="51"/>
      <c r="F71" s="51"/>
      <c r="G71" s="51"/>
      <c r="H71" s="51"/>
      <c r="I71" s="51"/>
      <c r="J71" s="51"/>
      <c r="K71" s="51"/>
      <c r="L71" s="51"/>
      <c r="M71" s="52"/>
      <c r="N71" s="62"/>
      <c r="O71" s="62"/>
      <c r="P71" s="63"/>
    </row>
    <row r="72" spans="2:17" x14ac:dyDescent="0.35">
      <c r="B72" s="66"/>
      <c r="C72" s="45"/>
      <c r="D72" s="15"/>
      <c r="E72" s="15"/>
      <c r="F72" s="15"/>
      <c r="G72" s="15"/>
      <c r="H72" s="15"/>
      <c r="I72" s="15"/>
      <c r="J72" s="15"/>
      <c r="K72" s="15"/>
      <c r="L72" s="15"/>
      <c r="M72" s="16"/>
      <c r="N72" s="64"/>
      <c r="O72" s="265" t="s">
        <v>58</v>
      </c>
      <c r="P72" s="266"/>
    </row>
    <row r="73" spans="2:17" hidden="1" x14ac:dyDescent="0.35">
      <c r="B73" s="66" t="s">
        <v>23</v>
      </c>
      <c r="C73" s="45" t="s">
        <v>28</v>
      </c>
      <c r="D73" s="90">
        <f>D52</f>
        <v>0.8</v>
      </c>
      <c r="E73" s="15" t="s">
        <v>29</v>
      </c>
      <c r="F73" s="15"/>
      <c r="G73" s="15"/>
      <c r="H73" s="15"/>
      <c r="I73" s="15"/>
      <c r="J73" s="15"/>
      <c r="K73" s="15"/>
      <c r="L73" s="15"/>
      <c r="M73" s="16"/>
      <c r="N73" s="64"/>
      <c r="O73" s="82" t="s">
        <v>46</v>
      </c>
      <c r="P73" s="82">
        <f>VLOOKUP(C12, S10:U14,3, )</f>
        <v>1840</v>
      </c>
    </row>
    <row r="74" spans="2:17" hidden="1" x14ac:dyDescent="0.35">
      <c r="B74" s="66" t="s">
        <v>24</v>
      </c>
      <c r="C74" s="45" t="s">
        <v>22</v>
      </c>
      <c r="D74" s="91">
        <f>D53</f>
        <v>13</v>
      </c>
      <c r="E74" s="15" t="s">
        <v>38</v>
      </c>
      <c r="F74" s="15"/>
      <c r="G74" s="15"/>
      <c r="H74" s="15"/>
      <c r="I74" s="15"/>
      <c r="J74" s="15"/>
      <c r="K74" s="15"/>
      <c r="L74" s="15"/>
      <c r="M74" s="16"/>
      <c r="N74" s="64"/>
      <c r="O74" s="82" t="s">
        <v>45</v>
      </c>
      <c r="P74" s="82">
        <v>33000</v>
      </c>
    </row>
    <row r="75" spans="2:17" hidden="1" x14ac:dyDescent="0.35">
      <c r="B75" s="66" t="s">
        <v>57</v>
      </c>
      <c r="C75" s="46" t="str">
        <f>C12</f>
        <v>2 (Chicago, IL)</v>
      </c>
      <c r="D75" s="89"/>
      <c r="E75" s="15"/>
      <c r="F75" s="15"/>
      <c r="G75" s="15"/>
      <c r="H75" s="15"/>
      <c r="I75" s="15"/>
      <c r="J75" s="15"/>
      <c r="K75" s="15"/>
      <c r="L75" s="15"/>
      <c r="M75" s="16"/>
      <c r="N75" s="64"/>
      <c r="O75" s="82" t="s">
        <v>47</v>
      </c>
      <c r="P75" s="82">
        <f>D76</f>
        <v>8.4</v>
      </c>
    </row>
    <row r="76" spans="2:17" hidden="1" x14ac:dyDescent="0.35">
      <c r="B76" s="66" t="s">
        <v>25</v>
      </c>
      <c r="C76" s="15" t="s">
        <v>27</v>
      </c>
      <c r="D76" s="91">
        <f>D55</f>
        <v>8.4</v>
      </c>
      <c r="E76" s="15" t="s">
        <v>50</v>
      </c>
      <c r="F76" s="15"/>
      <c r="G76" s="15"/>
      <c r="H76" s="15"/>
      <c r="I76" s="15"/>
      <c r="J76" s="15"/>
      <c r="K76" s="15"/>
      <c r="L76" s="15"/>
      <c r="M76" s="16"/>
      <c r="N76" s="64"/>
      <c r="O76" s="82" t="s">
        <v>48</v>
      </c>
      <c r="P76" s="82">
        <v>1</v>
      </c>
    </row>
    <row r="77" spans="2:17" hidden="1" x14ac:dyDescent="0.35">
      <c r="B77" s="66" t="s">
        <v>26</v>
      </c>
      <c r="C77" s="15" t="s">
        <v>27</v>
      </c>
      <c r="D77" s="91">
        <f>D56</f>
        <v>14</v>
      </c>
      <c r="E77" s="11" t="s">
        <v>38</v>
      </c>
      <c r="F77" s="15"/>
      <c r="G77" s="15"/>
      <c r="H77" s="15"/>
      <c r="I77" s="15"/>
      <c r="J77" s="15"/>
      <c r="K77" s="15"/>
      <c r="L77" s="15"/>
      <c r="M77" s="16"/>
      <c r="N77" s="64"/>
      <c r="O77" s="82" t="s">
        <v>60</v>
      </c>
      <c r="P77" s="82">
        <f>E5</f>
        <v>10781.92</v>
      </c>
    </row>
    <row r="78" spans="2:17" hidden="1" x14ac:dyDescent="0.35">
      <c r="B78" s="66"/>
      <c r="C78" s="45"/>
      <c r="D78" s="15"/>
      <c r="E78" s="15"/>
      <c r="F78" s="15"/>
      <c r="G78" s="15"/>
      <c r="H78" s="15"/>
      <c r="I78" s="15"/>
      <c r="J78" s="15"/>
      <c r="K78" s="15"/>
      <c r="L78" s="15"/>
      <c r="M78" s="16"/>
      <c r="N78" s="64"/>
      <c r="O78" s="82" t="s">
        <v>49</v>
      </c>
      <c r="P78" s="83">
        <f>((P73*P74*(1/(P75*P76*(1-0))))/1000)*P77/1000000</f>
        <v>77.937878857142849</v>
      </c>
    </row>
    <row r="79" spans="2:17" x14ac:dyDescent="0.35">
      <c r="B79" s="275" t="s">
        <v>39</v>
      </c>
      <c r="C79" s="276" t="s">
        <v>31</v>
      </c>
      <c r="D79" s="276"/>
      <c r="E79" s="277" t="s">
        <v>32</v>
      </c>
      <c r="F79" s="283" t="s">
        <v>33</v>
      </c>
      <c r="G79" s="283"/>
      <c r="H79" s="277" t="s">
        <v>12</v>
      </c>
      <c r="I79" s="284" t="s">
        <v>34</v>
      </c>
      <c r="J79" s="284"/>
      <c r="K79" s="268" t="s">
        <v>12</v>
      </c>
      <c r="L79" s="283" t="s">
        <v>35</v>
      </c>
      <c r="M79" s="285"/>
      <c r="N79" s="64"/>
      <c r="O79" s="150" t="s">
        <v>122</v>
      </c>
      <c r="P79" s="82">
        <f>P73*P74/1000000</f>
        <v>60.72</v>
      </c>
      <c r="Q79" t="s">
        <v>124</v>
      </c>
    </row>
    <row r="80" spans="2:17" x14ac:dyDescent="0.35">
      <c r="B80" s="275"/>
      <c r="C80" s="276"/>
      <c r="D80" s="276"/>
      <c r="E80" s="277"/>
      <c r="F80" s="283"/>
      <c r="G80" s="283"/>
      <c r="H80" s="277"/>
      <c r="I80" s="284"/>
      <c r="J80" s="284"/>
      <c r="K80" s="268"/>
      <c r="L80" s="283"/>
      <c r="M80" s="285"/>
      <c r="N80" s="64"/>
      <c r="O80" s="82" t="s">
        <v>29</v>
      </c>
      <c r="P80" s="84">
        <f>D73</f>
        <v>0.8</v>
      </c>
    </row>
    <row r="81" spans="2:17" x14ac:dyDescent="0.35">
      <c r="B81" s="66"/>
      <c r="C81" s="45"/>
      <c r="D81" s="15"/>
      <c r="E81" s="15"/>
      <c r="F81" s="15"/>
      <c r="G81" s="15"/>
      <c r="H81" s="15"/>
      <c r="I81" s="15"/>
      <c r="J81" s="15"/>
      <c r="K81" s="15"/>
      <c r="L81" s="15"/>
      <c r="M81" s="16"/>
      <c r="N81" s="64"/>
      <c r="O81" s="82" t="s">
        <v>51</v>
      </c>
      <c r="P81" s="82">
        <f>P79/P80</f>
        <v>75.899999999999991</v>
      </c>
      <c r="Q81" t="s">
        <v>124</v>
      </c>
    </row>
    <row r="82" spans="2:17" x14ac:dyDescent="0.35">
      <c r="B82" s="66" t="s">
        <v>39</v>
      </c>
      <c r="C82" s="78">
        <f>P81</f>
        <v>75.899999999999991</v>
      </c>
      <c r="D82" s="47" t="s">
        <v>36</v>
      </c>
      <c r="E82" s="45" t="s">
        <v>32</v>
      </c>
      <c r="F82" s="79">
        <f>P88/(P77/3412)</f>
        <v>5.2061870769230776</v>
      </c>
      <c r="G82" s="47" t="s">
        <v>36</v>
      </c>
      <c r="H82" s="45" t="s">
        <v>12</v>
      </c>
      <c r="I82" s="79">
        <f>P78/(P77/3412)</f>
        <v>24.663885714285712</v>
      </c>
      <c r="J82" s="47" t="s">
        <v>36</v>
      </c>
      <c r="K82" s="45" t="s">
        <v>12</v>
      </c>
      <c r="L82" s="79">
        <f>P90/(P77/3412)</f>
        <v>4.8343165714285705</v>
      </c>
      <c r="M82" s="53" t="s">
        <v>36</v>
      </c>
      <c r="N82" s="64"/>
      <c r="O82" s="82" t="s">
        <v>52</v>
      </c>
      <c r="P82" s="82">
        <v>34800</v>
      </c>
    </row>
    <row r="83" spans="2:17" x14ac:dyDescent="0.35">
      <c r="B83" s="66"/>
      <c r="C83" s="45"/>
      <c r="D83" s="15"/>
      <c r="E83" s="15"/>
      <c r="F83" s="15"/>
      <c r="G83" s="15"/>
      <c r="H83" s="15"/>
      <c r="I83" s="15"/>
      <c r="J83" s="15"/>
      <c r="K83" s="15"/>
      <c r="L83" s="15"/>
      <c r="M83" s="16"/>
      <c r="N83" s="64"/>
      <c r="O83" s="82" t="s">
        <v>74</v>
      </c>
      <c r="P83" s="85">
        <f>VLOOKUP(C12,S17:T23,2)</f>
        <v>570</v>
      </c>
    </row>
    <row r="84" spans="2:17" x14ac:dyDescent="0.35">
      <c r="B84" s="178" t="s">
        <v>162</v>
      </c>
      <c r="C84" s="176">
        <f>C82-I82</f>
        <v>51.23611428571428</v>
      </c>
      <c r="D84" s="15" t="s">
        <v>36</v>
      </c>
      <c r="E84" s="15"/>
      <c r="F84" s="15"/>
      <c r="G84" s="15"/>
      <c r="H84" s="15"/>
      <c r="I84" s="15"/>
      <c r="J84" s="15"/>
      <c r="K84" s="15"/>
      <c r="L84" s="15"/>
      <c r="M84" s="16"/>
      <c r="N84" s="64"/>
      <c r="O84" s="82"/>
      <c r="P84" s="85"/>
    </row>
    <row r="85" spans="2:17" ht="15" thickBot="1" x14ac:dyDescent="0.4">
      <c r="B85" s="178" t="s">
        <v>163</v>
      </c>
      <c r="C85" s="176">
        <f>F82-L82</f>
        <v>0.37187050549450706</v>
      </c>
      <c r="D85" s="15" t="s">
        <v>36</v>
      </c>
      <c r="E85" s="15"/>
      <c r="F85" s="15"/>
      <c r="G85" s="15"/>
      <c r="H85" s="15"/>
      <c r="I85" s="15"/>
      <c r="J85" s="15"/>
      <c r="K85" s="15"/>
      <c r="L85" s="15"/>
      <c r="M85" s="16"/>
      <c r="N85" s="64"/>
      <c r="O85" s="82"/>
      <c r="P85" s="85"/>
    </row>
    <row r="86" spans="2:17" ht="15" thickBot="1" x14ac:dyDescent="0.4">
      <c r="B86" s="74" t="s">
        <v>39</v>
      </c>
      <c r="C86" s="75">
        <f>C82+F82-I82-L82</f>
        <v>51.607984791208779</v>
      </c>
      <c r="D86" s="54" t="s">
        <v>36</v>
      </c>
      <c r="E86" s="15"/>
      <c r="F86" s="15"/>
      <c r="G86" s="15"/>
      <c r="H86" s="15"/>
      <c r="I86" s="15"/>
      <c r="J86" s="15"/>
      <c r="K86" s="15"/>
      <c r="L86" s="15"/>
      <c r="M86" s="16"/>
      <c r="N86" s="64"/>
      <c r="O86" s="82" t="s">
        <v>53</v>
      </c>
      <c r="P86" s="82">
        <f>D74</f>
        <v>13</v>
      </c>
    </row>
    <row r="87" spans="2:17" hidden="1" x14ac:dyDescent="0.35">
      <c r="B87" s="286"/>
      <c r="C87" s="288"/>
      <c r="D87" s="288"/>
      <c r="E87" s="288"/>
      <c r="F87" s="288"/>
      <c r="G87" s="288"/>
      <c r="H87" s="288"/>
      <c r="I87" s="288"/>
      <c r="J87" s="288"/>
      <c r="K87" s="288"/>
      <c r="L87" s="288"/>
      <c r="M87" s="289"/>
      <c r="N87" s="64"/>
      <c r="O87" s="82" t="s">
        <v>54</v>
      </c>
      <c r="P87" s="82">
        <f>D77</f>
        <v>14</v>
      </c>
    </row>
    <row r="88" spans="2:17" ht="15" thickBot="1" x14ac:dyDescent="0.4">
      <c r="B88" s="287"/>
      <c r="C88" s="288"/>
      <c r="D88" s="288"/>
      <c r="E88" s="288"/>
      <c r="F88" s="288"/>
      <c r="G88" s="288"/>
      <c r="H88" s="288"/>
      <c r="I88" s="288"/>
      <c r="J88" s="288"/>
      <c r="K88" s="288"/>
      <c r="L88" s="288"/>
      <c r="M88" s="289"/>
      <c r="N88" s="64"/>
      <c r="O88" s="82" t="s">
        <v>55</v>
      </c>
      <c r="P88" s="82">
        <f>(P83*P82*(1/P86)/1000)*P77/1000000</f>
        <v>16.451551163076925</v>
      </c>
    </row>
    <row r="89" spans="2:17" ht="15" thickBot="1" x14ac:dyDescent="0.4">
      <c r="B89" s="104" t="s">
        <v>88</v>
      </c>
      <c r="C89" s="105">
        <f>C86*10*29.3</f>
        <v>15121.139543824173</v>
      </c>
      <c r="D89" s="106" t="s">
        <v>17</v>
      </c>
      <c r="E89" s="15"/>
      <c r="F89" s="15"/>
      <c r="G89" s="15"/>
      <c r="H89" s="15"/>
      <c r="I89" s="15"/>
      <c r="J89" s="15"/>
      <c r="K89" s="15"/>
      <c r="L89" s="15"/>
      <c r="M89" s="16"/>
      <c r="N89" s="65"/>
      <c r="O89" s="82"/>
      <c r="P89" s="82"/>
    </row>
    <row r="90" spans="2:17" ht="15" thickBot="1" x14ac:dyDescent="0.4">
      <c r="B90" s="102" t="s">
        <v>89</v>
      </c>
      <c r="C90" s="155">
        <f>C65*10*29.3</f>
        <v>-30.404041515601978</v>
      </c>
      <c r="D90" s="103" t="s">
        <v>17</v>
      </c>
      <c r="E90" s="57"/>
      <c r="F90" s="57"/>
      <c r="G90" s="57"/>
      <c r="H90" s="57"/>
      <c r="I90" s="17"/>
      <c r="J90" s="17"/>
      <c r="K90" s="17"/>
      <c r="L90" s="17"/>
      <c r="M90" s="18"/>
      <c r="O90" s="82" t="s">
        <v>56</v>
      </c>
      <c r="P90" s="83">
        <f>(P83*P82*(1/P87)/1000)*P77/1000000</f>
        <v>15.276440365714283</v>
      </c>
    </row>
    <row r="91" spans="2:17" x14ac:dyDescent="0.35">
      <c r="C91" s="101"/>
    </row>
    <row r="94" spans="2:17" x14ac:dyDescent="0.35">
      <c r="E94" s="15"/>
    </row>
  </sheetData>
  <mergeCells count="48">
    <mergeCell ref="B87:B88"/>
    <mergeCell ref="C87:M88"/>
    <mergeCell ref="L58:M59"/>
    <mergeCell ref="B67:B68"/>
    <mergeCell ref="C67:M68"/>
    <mergeCell ref="O72:P72"/>
    <mergeCell ref="B79:B80"/>
    <mergeCell ref="C79:D80"/>
    <mergeCell ref="E79:E80"/>
    <mergeCell ref="F79:G80"/>
    <mergeCell ref="H79:H80"/>
    <mergeCell ref="I79:J80"/>
    <mergeCell ref="K79:K80"/>
    <mergeCell ref="L79:M80"/>
    <mergeCell ref="B46:B47"/>
    <mergeCell ref="C46:M47"/>
    <mergeCell ref="O51:P51"/>
    <mergeCell ref="B58:B59"/>
    <mergeCell ref="C58:D59"/>
    <mergeCell ref="E58:E59"/>
    <mergeCell ref="F58:G59"/>
    <mergeCell ref="H58:H59"/>
    <mergeCell ref="I58:J59"/>
    <mergeCell ref="K58:K59"/>
    <mergeCell ref="O30:P30"/>
    <mergeCell ref="B37:B38"/>
    <mergeCell ref="C37:D38"/>
    <mergeCell ref="E37:E38"/>
    <mergeCell ref="F37:G38"/>
    <mergeCell ref="H37:H38"/>
    <mergeCell ref="I37:J38"/>
    <mergeCell ref="K37:K38"/>
    <mergeCell ref="L37:M38"/>
    <mergeCell ref="I16:J17"/>
    <mergeCell ref="K16:K17"/>
    <mergeCell ref="L16:M17"/>
    <mergeCell ref="B25:B26"/>
    <mergeCell ref="C25:L26"/>
    <mergeCell ref="B16:B17"/>
    <mergeCell ref="C16:D17"/>
    <mergeCell ref="E16:E17"/>
    <mergeCell ref="F16:G17"/>
    <mergeCell ref="H16:H17"/>
    <mergeCell ref="B1:I1"/>
    <mergeCell ref="D3:E3"/>
    <mergeCell ref="F3:G3"/>
    <mergeCell ref="S8:U8"/>
    <mergeCell ref="O9:P9"/>
  </mergeCells>
  <dataValidations count="2">
    <dataValidation type="list" allowBlank="1" showInputMessage="1" showErrorMessage="1" sqref="C12" xr:uid="{00000000-0002-0000-0100-000000000000}">
      <formula1>$S$10:$S$14</formula1>
    </dataValidation>
    <dataValidation type="list" allowBlank="1" showInputMessage="1" showErrorMessage="1" sqref="D13" xr:uid="{00000000-0002-0000-0100-000001000000}">
      <formula1>$Y$2:$Y$6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P94"/>
  <sheetViews>
    <sheetView showGridLines="0" zoomScale="90" zoomScaleNormal="90" workbookViewId="0">
      <pane xSplit="1" ySplit="6" topLeftCell="B47" activePane="bottomRight" state="frozen"/>
      <selection pane="topRight" activeCell="B1" sqref="B1"/>
      <selection pane="bottomLeft" activeCell="A7" sqref="A7"/>
      <selection pane="bottomRight" activeCell="Y1" sqref="Y1:AA6"/>
    </sheetView>
    <sheetView topLeftCell="A11" workbookViewId="1"/>
  </sheetViews>
  <sheetFormatPr defaultRowHeight="14.5" x14ac:dyDescent="0.35"/>
  <cols>
    <col min="1" max="1" width="5" customWidth="1"/>
    <col min="2" max="2" width="29.26953125" style="32" customWidth="1"/>
    <col min="3" max="3" width="14.7265625" style="3" customWidth="1"/>
    <col min="5" max="5" width="7.7265625" customWidth="1"/>
    <col min="7" max="7" width="11.08984375" customWidth="1"/>
    <col min="8" max="8" width="10.453125" customWidth="1"/>
    <col min="9" max="9" width="9.26953125" customWidth="1"/>
    <col min="10" max="10" width="10.6328125" customWidth="1"/>
    <col min="14" max="14" width="5.08984375" hidden="1" customWidth="1"/>
    <col min="15" max="15" width="27.7265625" hidden="1" customWidth="1"/>
    <col min="16" max="16" width="10.453125" hidden="1" customWidth="1"/>
    <col min="17" max="17" width="2.90625" hidden="1" customWidth="1"/>
    <col min="18" max="18" width="8.08984375" hidden="1" customWidth="1"/>
    <col min="19" max="19" width="16" hidden="1" customWidth="1"/>
    <col min="20" max="20" width="12.90625" hidden="1" customWidth="1"/>
    <col min="21" max="21" width="13.26953125" hidden="1" customWidth="1"/>
    <col min="22" max="24" width="9" hidden="1" customWidth="1"/>
    <col min="25" max="30" width="9" customWidth="1"/>
    <col min="31" max="31" width="9" hidden="1" customWidth="1"/>
    <col min="32" max="34" width="9" customWidth="1"/>
  </cols>
  <sheetData>
    <row r="1" spans="2:42" ht="22.5" customHeight="1" x14ac:dyDescent="0.35">
      <c r="B1" s="257" t="s">
        <v>76</v>
      </c>
      <c r="C1" s="258"/>
      <c r="D1" s="258"/>
      <c r="E1" s="258"/>
      <c r="F1" s="258"/>
      <c r="G1" s="258"/>
      <c r="H1" s="258"/>
      <c r="I1" s="259"/>
      <c r="J1" s="4" t="s">
        <v>6</v>
      </c>
      <c r="K1" s="163">
        <v>3412</v>
      </c>
      <c r="L1" s="6" t="s">
        <v>7</v>
      </c>
      <c r="M1" s="182"/>
      <c r="Y1" s="184" t="s">
        <v>50</v>
      </c>
      <c r="Z1" s="184" t="s">
        <v>38</v>
      </c>
      <c r="AA1" s="119" t="s">
        <v>182</v>
      </c>
    </row>
    <row r="2" spans="2:42" ht="17" customHeight="1" thickBot="1" x14ac:dyDescent="0.4">
      <c r="B2" s="179"/>
      <c r="C2" s="180"/>
      <c r="D2" s="180"/>
      <c r="E2" s="180"/>
      <c r="F2" s="180"/>
      <c r="G2" s="180"/>
      <c r="H2" s="180"/>
      <c r="I2" s="180"/>
      <c r="J2" s="37" t="s">
        <v>143</v>
      </c>
      <c r="K2" s="165">
        <v>29.3</v>
      </c>
      <c r="L2" s="38" t="s">
        <v>17</v>
      </c>
      <c r="M2" s="181"/>
      <c r="Y2">
        <v>8.4</v>
      </c>
      <c r="Z2">
        <v>14</v>
      </c>
    </row>
    <row r="3" spans="2:42" ht="17" customHeight="1" thickBot="1" x14ac:dyDescent="0.4">
      <c r="B3" s="179"/>
      <c r="C3" s="45" t="s">
        <v>43</v>
      </c>
      <c r="D3" s="260" t="s">
        <v>42</v>
      </c>
      <c r="E3" s="261"/>
      <c r="F3" s="262" t="s">
        <v>44</v>
      </c>
      <c r="G3" s="263"/>
      <c r="H3" s="60" t="s">
        <v>67</v>
      </c>
      <c r="I3" s="180"/>
      <c r="J3" s="37" t="s">
        <v>138</v>
      </c>
      <c r="K3" s="164">
        <v>293</v>
      </c>
      <c r="L3" s="38" t="s">
        <v>17</v>
      </c>
      <c r="M3" s="181"/>
      <c r="Y3">
        <v>8.8000000000000007</v>
      </c>
      <c r="Z3">
        <v>15</v>
      </c>
    </row>
    <row r="4" spans="2:42" ht="17" customHeight="1" thickBot="1" x14ac:dyDescent="0.4">
      <c r="B4" s="179"/>
      <c r="C4" s="180"/>
      <c r="D4" s="180"/>
      <c r="E4" s="180"/>
      <c r="F4" s="180"/>
      <c r="G4" s="180"/>
      <c r="H4" s="180"/>
      <c r="I4" s="180"/>
      <c r="J4" s="8" t="s">
        <v>119</v>
      </c>
      <c r="K4" s="40">
        <v>10</v>
      </c>
      <c r="L4" s="9" t="s">
        <v>117</v>
      </c>
      <c r="M4" s="181"/>
      <c r="Y4">
        <v>9</v>
      </c>
      <c r="Z4">
        <v>16</v>
      </c>
    </row>
    <row r="5" spans="2:42" x14ac:dyDescent="0.35">
      <c r="B5" s="93"/>
      <c r="D5" s="178" t="s">
        <v>115</v>
      </c>
      <c r="E5" s="183">
        <f>IF(OR(C12=S10,C12=S11),Background!D9,Background!D10)</f>
        <v>10781.92</v>
      </c>
      <c r="F5" s="15" t="s">
        <v>8</v>
      </c>
      <c r="H5" s="15"/>
      <c r="I5" s="178" t="s">
        <v>1</v>
      </c>
      <c r="J5" s="185">
        <v>1.01</v>
      </c>
      <c r="K5" s="15"/>
      <c r="L5" s="15"/>
      <c r="M5" s="94"/>
      <c r="Y5">
        <v>9.1999999999999993</v>
      </c>
      <c r="Z5">
        <v>18</v>
      </c>
    </row>
    <row r="6" spans="2:42" ht="12.9" customHeight="1" thickBot="1" x14ac:dyDescent="0.4">
      <c r="B6" s="95"/>
      <c r="C6" s="34"/>
      <c r="D6" s="39"/>
      <c r="E6" s="39"/>
      <c r="F6" s="39"/>
      <c r="G6" s="39"/>
      <c r="H6" s="39"/>
      <c r="I6" s="39"/>
      <c r="J6" s="39"/>
      <c r="K6" s="39"/>
      <c r="L6" s="39"/>
      <c r="M6" s="7"/>
      <c r="Y6">
        <v>13</v>
      </c>
      <c r="Z6">
        <v>20.5</v>
      </c>
    </row>
    <row r="7" spans="2:42" s="44" customFormat="1" ht="12.9" customHeight="1" x14ac:dyDescent="0.35">
      <c r="B7" s="96"/>
      <c r="C7" s="89"/>
      <c r="D7" s="11"/>
      <c r="E7" s="11"/>
      <c r="F7" s="11"/>
      <c r="G7" s="11"/>
      <c r="H7" s="11"/>
      <c r="I7" s="11"/>
      <c r="J7" s="11"/>
      <c r="K7" s="11"/>
      <c r="L7" s="11"/>
      <c r="M7" s="11"/>
      <c r="AB7" s="11"/>
      <c r="AC7" s="11"/>
      <c r="AD7" s="11"/>
      <c r="AE7" s="11"/>
      <c r="AF7" s="11"/>
      <c r="AG7" s="11"/>
      <c r="AH7" s="11"/>
      <c r="AI7" s="11"/>
      <c r="AJ7" s="11"/>
      <c r="AK7" s="11"/>
      <c r="AL7" s="11"/>
      <c r="AM7" s="11"/>
      <c r="AN7" s="11"/>
      <c r="AO7" s="11"/>
      <c r="AP7" s="11"/>
    </row>
    <row r="8" spans="2:42" ht="19" customHeight="1" x14ac:dyDescent="0.45">
      <c r="B8" s="76" t="str">
        <f>'Screening Criteria-80AFUE'!B8</f>
        <v>Scenario 1: Current TRM method - No existing cooling sytem</v>
      </c>
      <c r="C8" s="50"/>
      <c r="D8" s="51"/>
      <c r="E8" s="51"/>
      <c r="F8" s="51"/>
      <c r="G8" s="51"/>
      <c r="H8" s="51"/>
      <c r="I8" s="51"/>
      <c r="J8" s="51"/>
      <c r="K8" s="51"/>
      <c r="L8" s="51"/>
      <c r="M8" s="52"/>
      <c r="N8" s="62"/>
      <c r="O8" s="62"/>
      <c r="P8" s="63"/>
      <c r="S8" s="264" t="s">
        <v>62</v>
      </c>
      <c r="T8" s="264"/>
      <c r="U8" s="264"/>
      <c r="AB8" s="15"/>
      <c r="AC8" s="15"/>
      <c r="AD8" s="15"/>
      <c r="AE8" s="231" t="s">
        <v>128</v>
      </c>
      <c r="AF8" s="231"/>
      <c r="AG8" s="231"/>
      <c r="AH8" s="231"/>
      <c r="AI8" s="231"/>
      <c r="AJ8" s="231"/>
      <c r="AK8" s="231"/>
      <c r="AL8" s="231"/>
      <c r="AM8" s="231"/>
      <c r="AN8" s="231"/>
      <c r="AO8" s="231"/>
      <c r="AP8" s="15"/>
    </row>
    <row r="9" spans="2:42" ht="29.9" customHeight="1" thickBot="1" x14ac:dyDescent="0.4">
      <c r="B9" s="66"/>
      <c r="C9" s="45"/>
      <c r="D9" s="15"/>
      <c r="E9" s="15"/>
      <c r="F9" s="15"/>
      <c r="G9" s="15"/>
      <c r="H9" s="15"/>
      <c r="I9" s="15"/>
      <c r="J9" s="15"/>
      <c r="K9" s="15"/>
      <c r="L9" s="15"/>
      <c r="M9" s="16"/>
      <c r="N9" s="64"/>
      <c r="O9" s="265" t="s">
        <v>58</v>
      </c>
      <c r="P9" s="266"/>
      <c r="S9" s="72" t="s">
        <v>61</v>
      </c>
      <c r="T9" s="72" t="s">
        <v>63</v>
      </c>
      <c r="U9" s="72" t="s">
        <v>64</v>
      </c>
      <c r="AB9" s="15"/>
      <c r="AC9" s="15"/>
      <c r="AD9" s="15"/>
      <c r="AE9" s="231"/>
      <c r="AF9" s="231"/>
      <c r="AG9" s="231"/>
      <c r="AH9" s="231"/>
      <c r="AI9" s="231"/>
      <c r="AJ9" s="231"/>
      <c r="AK9" s="231"/>
      <c r="AL9" s="231"/>
      <c r="AM9" s="231"/>
      <c r="AN9" s="231"/>
      <c r="AO9" s="231"/>
      <c r="AP9" s="15"/>
    </row>
    <row r="10" spans="2:42" x14ac:dyDescent="0.35">
      <c r="B10" s="66" t="s">
        <v>23</v>
      </c>
      <c r="C10" s="45" t="s">
        <v>28</v>
      </c>
      <c r="D10" s="92">
        <v>0.95</v>
      </c>
      <c r="E10" s="15" t="s">
        <v>29</v>
      </c>
      <c r="F10" s="15"/>
      <c r="G10" s="15"/>
      <c r="H10" s="15"/>
      <c r="I10" s="15"/>
      <c r="J10" s="15"/>
      <c r="K10" s="15"/>
      <c r="L10" s="15"/>
      <c r="M10" s="16"/>
      <c r="N10" s="64"/>
      <c r="O10" s="82" t="s">
        <v>46</v>
      </c>
      <c r="P10" s="82">
        <f>VLOOKUP(C12, S10:U14,3, )</f>
        <v>1840</v>
      </c>
      <c r="Q10" s="1"/>
      <c r="R10" s="1"/>
      <c r="S10" s="70" t="s">
        <v>71</v>
      </c>
      <c r="T10" s="71">
        <v>1022</v>
      </c>
      <c r="U10" s="71">
        <v>1969</v>
      </c>
      <c r="AB10" s="15"/>
      <c r="AC10" s="15"/>
      <c r="AD10" s="15"/>
      <c r="AE10" s="15"/>
      <c r="AF10" s="15"/>
      <c r="AG10" s="15"/>
      <c r="AH10" s="15"/>
      <c r="AI10" s="15"/>
      <c r="AJ10" s="15"/>
      <c r="AK10" s="15"/>
      <c r="AL10" s="15"/>
      <c r="AM10" s="15"/>
      <c r="AN10" s="15"/>
      <c r="AO10" s="15"/>
      <c r="AP10" s="15"/>
    </row>
    <row r="11" spans="2:42" x14ac:dyDescent="0.35">
      <c r="B11" s="66" t="s">
        <v>24</v>
      </c>
      <c r="C11" s="45" t="s">
        <v>21</v>
      </c>
      <c r="D11" s="91"/>
      <c r="E11" s="15" t="s">
        <v>38</v>
      </c>
      <c r="F11" s="15"/>
      <c r="G11" s="15"/>
      <c r="H11" s="15"/>
      <c r="I11" s="15"/>
      <c r="J11" s="15"/>
      <c r="K11" s="15"/>
      <c r="L11" s="15"/>
      <c r="M11" s="16"/>
      <c r="N11" s="64"/>
      <c r="O11" s="82" t="s">
        <v>123</v>
      </c>
      <c r="P11" s="82">
        <v>33000</v>
      </c>
      <c r="Q11" t="s">
        <v>75</v>
      </c>
      <c r="S11" s="58" t="s">
        <v>72</v>
      </c>
      <c r="T11" s="69">
        <v>976</v>
      </c>
      <c r="U11" s="69">
        <v>1840</v>
      </c>
      <c r="AB11" s="15"/>
      <c r="AC11" s="15"/>
      <c r="AD11" s="15"/>
      <c r="AE11" s="15"/>
      <c r="AF11" s="15"/>
      <c r="AG11" s="15"/>
      <c r="AH11" s="15"/>
      <c r="AI11" s="15"/>
      <c r="AJ11" s="15"/>
      <c r="AK11" s="15"/>
      <c r="AL11" s="15"/>
      <c r="AM11" s="15"/>
      <c r="AN11" s="15"/>
      <c r="AO11" s="15"/>
      <c r="AP11" s="15"/>
    </row>
    <row r="12" spans="2:42" x14ac:dyDescent="0.35">
      <c r="B12" s="66" t="s">
        <v>57</v>
      </c>
      <c r="C12" s="61" t="s">
        <v>72</v>
      </c>
      <c r="D12" s="45"/>
      <c r="E12" s="15"/>
      <c r="F12" s="15"/>
      <c r="G12" s="15"/>
      <c r="H12" s="15"/>
      <c r="I12" s="15"/>
      <c r="J12" s="15"/>
      <c r="K12" s="15"/>
      <c r="L12" s="15"/>
      <c r="M12" s="16"/>
      <c r="N12" s="64"/>
      <c r="O12" s="82" t="s">
        <v>47</v>
      </c>
      <c r="P12" s="82">
        <f>D13</f>
        <v>9.1999999999999993</v>
      </c>
      <c r="S12" s="58" t="s">
        <v>70</v>
      </c>
      <c r="T12" s="69">
        <v>836</v>
      </c>
      <c r="U12" s="69">
        <v>1754</v>
      </c>
      <c r="AB12" s="15"/>
      <c r="AC12" s="15"/>
      <c r="AD12" s="15"/>
      <c r="AE12" s="15"/>
      <c r="AF12" s="15"/>
      <c r="AG12" s="15"/>
      <c r="AH12" s="15"/>
      <c r="AI12" s="15"/>
      <c r="AJ12" s="15"/>
      <c r="AK12" s="15"/>
      <c r="AL12" s="15"/>
      <c r="AM12" s="15"/>
      <c r="AN12" s="15"/>
      <c r="AO12" s="15"/>
      <c r="AP12" s="15"/>
    </row>
    <row r="13" spans="2:42" x14ac:dyDescent="0.35">
      <c r="B13" s="66" t="s">
        <v>25</v>
      </c>
      <c r="C13" s="15" t="s">
        <v>27</v>
      </c>
      <c r="D13" s="154">
        <v>9.1999999999999993</v>
      </c>
      <c r="E13" s="15" t="s">
        <v>50</v>
      </c>
      <c r="F13" s="15"/>
      <c r="G13" s="15"/>
      <c r="H13" s="15"/>
      <c r="I13" s="15"/>
      <c r="J13" s="15"/>
      <c r="K13" s="15"/>
      <c r="L13" s="15"/>
      <c r="M13" s="16"/>
      <c r="N13" s="64"/>
      <c r="O13" s="82" t="s">
        <v>48</v>
      </c>
      <c r="P13" s="82">
        <v>1</v>
      </c>
      <c r="S13" s="58" t="s">
        <v>69</v>
      </c>
      <c r="T13" s="69">
        <v>645</v>
      </c>
      <c r="U13" s="69">
        <v>1266</v>
      </c>
      <c r="AB13" s="15"/>
      <c r="AC13" s="15"/>
      <c r="AD13" s="15"/>
      <c r="AE13" s="15"/>
      <c r="AF13" s="15"/>
      <c r="AG13" s="15"/>
      <c r="AH13" s="15"/>
      <c r="AI13" s="15"/>
      <c r="AJ13" s="15"/>
      <c r="AK13" s="15"/>
      <c r="AL13" s="15"/>
      <c r="AM13" s="15"/>
      <c r="AN13" s="15"/>
      <c r="AO13" s="15"/>
      <c r="AP13" s="15"/>
    </row>
    <row r="14" spans="2:42" x14ac:dyDescent="0.35">
      <c r="B14" s="66" t="s">
        <v>26</v>
      </c>
      <c r="C14" s="15" t="s">
        <v>27</v>
      </c>
      <c r="D14" s="91">
        <f>VLOOKUP(D13,Y2:Z6,2)</f>
        <v>18</v>
      </c>
      <c r="E14" s="15" t="s">
        <v>38</v>
      </c>
      <c r="F14" s="15"/>
      <c r="G14" s="15"/>
      <c r="H14" s="15"/>
      <c r="I14" s="15"/>
      <c r="J14" s="15"/>
      <c r="K14" s="15"/>
      <c r="L14" s="15"/>
      <c r="M14" s="16"/>
      <c r="N14" s="64"/>
      <c r="O14" s="82" t="s">
        <v>60</v>
      </c>
      <c r="P14" s="82">
        <f>E5</f>
        <v>10781.92</v>
      </c>
      <c r="S14" s="58" t="s">
        <v>68</v>
      </c>
      <c r="T14" s="69">
        <v>656</v>
      </c>
      <c r="U14" s="69">
        <v>1288</v>
      </c>
      <c r="AB14" s="15"/>
      <c r="AC14" s="15"/>
      <c r="AD14" s="15"/>
      <c r="AE14" s="15"/>
      <c r="AF14" s="15"/>
      <c r="AG14" s="15"/>
      <c r="AH14" s="15"/>
      <c r="AI14" s="15"/>
      <c r="AJ14" s="15"/>
      <c r="AK14" s="15"/>
      <c r="AL14" s="15"/>
      <c r="AM14" s="15"/>
      <c r="AN14" s="15"/>
      <c r="AO14" s="15"/>
      <c r="AP14" s="15"/>
    </row>
    <row r="15" spans="2:42" x14ac:dyDescent="0.35">
      <c r="B15" s="66"/>
      <c r="C15" s="45"/>
      <c r="D15" s="15"/>
      <c r="E15" s="15"/>
      <c r="F15" s="15"/>
      <c r="G15" s="15"/>
      <c r="H15" s="15"/>
      <c r="I15" s="15"/>
      <c r="J15" s="15"/>
      <c r="K15" s="15"/>
      <c r="L15" s="15"/>
      <c r="M15" s="16"/>
      <c r="N15" s="64"/>
      <c r="O15" s="82" t="s">
        <v>49</v>
      </c>
      <c r="P15" s="83">
        <f>((P10*P11*(1/(P12*P13*(1-0))))/1000)*P14/1000000</f>
        <v>71.160672000000019</v>
      </c>
      <c r="AB15" s="15"/>
      <c r="AC15" s="15"/>
      <c r="AD15" s="15"/>
      <c r="AE15" s="15"/>
      <c r="AF15" s="15"/>
      <c r="AG15" s="15"/>
      <c r="AH15" s="15"/>
      <c r="AI15" s="15"/>
      <c r="AJ15" s="15"/>
      <c r="AK15" s="15"/>
      <c r="AL15" s="15"/>
      <c r="AM15" s="15"/>
      <c r="AN15" s="15"/>
      <c r="AO15" s="15"/>
      <c r="AP15" s="15"/>
    </row>
    <row r="16" spans="2:42" ht="14.25" customHeight="1" thickBot="1" x14ac:dyDescent="0.4">
      <c r="B16" s="275" t="s">
        <v>30</v>
      </c>
      <c r="C16" s="276" t="s">
        <v>31</v>
      </c>
      <c r="D16" s="276"/>
      <c r="E16" s="277" t="s">
        <v>32</v>
      </c>
      <c r="F16" s="269" t="s">
        <v>33</v>
      </c>
      <c r="G16" s="269"/>
      <c r="H16" s="277" t="s">
        <v>12</v>
      </c>
      <c r="I16" s="267" t="s">
        <v>34</v>
      </c>
      <c r="J16" s="267"/>
      <c r="K16" s="268" t="s">
        <v>12</v>
      </c>
      <c r="L16" s="269" t="s">
        <v>35</v>
      </c>
      <c r="M16" s="270"/>
      <c r="N16" s="64"/>
      <c r="O16" s="150" t="s">
        <v>122</v>
      </c>
      <c r="P16" s="82">
        <f>P10*P11/1000000</f>
        <v>60.72</v>
      </c>
      <c r="Q16" t="s">
        <v>124</v>
      </c>
      <c r="S16" s="72" t="s">
        <v>65</v>
      </c>
      <c r="T16" s="72" t="s">
        <v>66</v>
      </c>
      <c r="AB16" s="15"/>
      <c r="AC16" s="15"/>
      <c r="AD16" s="15"/>
      <c r="AE16" s="15"/>
      <c r="AF16" s="15"/>
      <c r="AG16" s="15"/>
      <c r="AH16" s="15"/>
      <c r="AI16" s="15"/>
      <c r="AJ16" s="15"/>
      <c r="AK16" s="15"/>
      <c r="AL16" s="15"/>
      <c r="AM16" s="15"/>
      <c r="AN16" s="15"/>
      <c r="AO16" s="15"/>
      <c r="AP16" s="15"/>
    </row>
    <row r="17" spans="2:42" x14ac:dyDescent="0.35">
      <c r="B17" s="275"/>
      <c r="C17" s="276"/>
      <c r="D17" s="276"/>
      <c r="E17" s="277"/>
      <c r="F17" s="269"/>
      <c r="G17" s="269"/>
      <c r="H17" s="277"/>
      <c r="I17" s="267"/>
      <c r="J17" s="267"/>
      <c r="K17" s="268"/>
      <c r="L17" s="269"/>
      <c r="M17" s="270"/>
      <c r="N17" s="64"/>
      <c r="O17" s="82" t="s">
        <v>29</v>
      </c>
      <c r="P17" s="84">
        <f>D10</f>
        <v>0.95</v>
      </c>
      <c r="Q17" s="1"/>
      <c r="R17" s="1"/>
      <c r="S17" s="70" t="s">
        <v>71</v>
      </c>
      <c r="T17" s="71">
        <v>512</v>
      </c>
      <c r="AB17" s="15"/>
      <c r="AC17" s="15"/>
      <c r="AD17" s="15"/>
      <c r="AE17" s="15"/>
      <c r="AF17" s="15"/>
      <c r="AG17" s="15"/>
      <c r="AH17" s="15"/>
      <c r="AI17" s="15"/>
      <c r="AJ17" s="15"/>
      <c r="AK17" s="15"/>
      <c r="AL17" s="15"/>
      <c r="AM17" s="15"/>
      <c r="AN17" s="15"/>
      <c r="AO17" s="15"/>
      <c r="AP17" s="15"/>
    </row>
    <row r="18" spans="2:42" x14ac:dyDescent="0.35">
      <c r="B18" s="66"/>
      <c r="C18" s="45"/>
      <c r="D18" s="15"/>
      <c r="E18" s="15"/>
      <c r="F18" s="15"/>
      <c r="G18" s="15"/>
      <c r="H18" s="15"/>
      <c r="I18" s="15"/>
      <c r="J18" s="15"/>
      <c r="K18" s="15"/>
      <c r="L18" s="15"/>
      <c r="M18" s="16"/>
      <c r="N18" s="64"/>
      <c r="O18" s="82" t="s">
        <v>51</v>
      </c>
      <c r="P18" s="82">
        <f>P16/P17</f>
        <v>63.915789473684214</v>
      </c>
      <c r="Q18" t="s">
        <v>124</v>
      </c>
      <c r="S18" s="58" t="s">
        <v>72</v>
      </c>
      <c r="T18" s="69">
        <v>570</v>
      </c>
      <c r="W18" s="2" t="s">
        <v>127</v>
      </c>
      <c r="AB18" s="15"/>
      <c r="AC18" s="15"/>
      <c r="AD18" s="15"/>
      <c r="AE18" s="15"/>
      <c r="AF18" s="15"/>
      <c r="AG18" s="15"/>
      <c r="AH18" s="15"/>
      <c r="AI18" s="15"/>
      <c r="AJ18" s="15"/>
      <c r="AK18" s="15"/>
      <c r="AL18" s="15"/>
      <c r="AM18" s="15"/>
      <c r="AN18" s="15"/>
      <c r="AO18" s="15"/>
      <c r="AP18" s="15"/>
    </row>
    <row r="19" spans="2:42" x14ac:dyDescent="0.35">
      <c r="B19" s="66" t="s">
        <v>30</v>
      </c>
      <c r="C19" s="79">
        <f>P18</f>
        <v>63.915789473684214</v>
      </c>
      <c r="D19" s="47" t="s">
        <v>36</v>
      </c>
      <c r="E19" s="45" t="s">
        <v>32</v>
      </c>
      <c r="F19" s="48">
        <f>P25</f>
        <v>0</v>
      </c>
      <c r="G19" s="48" t="s">
        <v>36</v>
      </c>
      <c r="H19" s="45" t="s">
        <v>12</v>
      </c>
      <c r="I19" s="80">
        <f>P15</f>
        <v>71.160672000000019</v>
      </c>
      <c r="J19" s="48" t="s">
        <v>36</v>
      </c>
      <c r="K19" s="45" t="s">
        <v>12</v>
      </c>
      <c r="L19" s="80">
        <f>P26</f>
        <v>11.88167584</v>
      </c>
      <c r="M19" s="49" t="s">
        <v>36</v>
      </c>
      <c r="N19" s="64"/>
      <c r="O19" s="82" t="s">
        <v>52</v>
      </c>
      <c r="P19" s="82">
        <v>34800</v>
      </c>
      <c r="Q19" t="s">
        <v>75</v>
      </c>
      <c r="S19" s="58" t="s">
        <v>70</v>
      </c>
      <c r="T19" s="69">
        <v>730</v>
      </c>
    </row>
    <row r="20" spans="2:42" x14ac:dyDescent="0.35">
      <c r="B20" s="66"/>
      <c r="C20" s="172"/>
      <c r="D20" s="173"/>
      <c r="E20" s="89"/>
      <c r="F20" s="173"/>
      <c r="G20" s="173"/>
      <c r="H20" s="89"/>
      <c r="I20" s="174"/>
      <c r="J20" s="173"/>
      <c r="K20" s="89"/>
      <c r="L20" s="174"/>
      <c r="M20" s="175"/>
      <c r="N20" s="64"/>
      <c r="O20" s="82"/>
      <c r="P20" s="82"/>
      <c r="S20" s="58"/>
      <c r="T20" s="69"/>
    </row>
    <row r="21" spans="2:42" x14ac:dyDescent="0.35">
      <c r="B21" s="66" t="s">
        <v>160</v>
      </c>
      <c r="C21" s="176">
        <f>C19-I19</f>
        <v>-7.2448825263158056</v>
      </c>
      <c r="D21" s="15" t="s">
        <v>36</v>
      </c>
      <c r="E21" s="15"/>
      <c r="F21" s="15"/>
      <c r="G21" s="15"/>
      <c r="H21" s="15"/>
      <c r="I21" s="15"/>
      <c r="J21" s="15"/>
      <c r="K21" s="15"/>
      <c r="L21" s="15"/>
      <c r="M21" s="16"/>
      <c r="N21" s="64"/>
      <c r="O21" s="82" t="s">
        <v>74</v>
      </c>
      <c r="P21" s="85">
        <f>VLOOKUP(C12,S17:T23,2)</f>
        <v>570</v>
      </c>
      <c r="S21" s="58" t="s">
        <v>69</v>
      </c>
      <c r="T21" s="69">
        <v>1035</v>
      </c>
    </row>
    <row r="22" spans="2:42" ht="15" thickBot="1" x14ac:dyDescent="0.4">
      <c r="B22" s="66" t="s">
        <v>161</v>
      </c>
      <c r="C22" s="177">
        <f>F19-L19</f>
        <v>-11.88167584</v>
      </c>
      <c r="D22" s="15" t="s">
        <v>36</v>
      </c>
      <c r="E22" s="15"/>
      <c r="F22" s="15"/>
      <c r="G22" s="15"/>
      <c r="H22" s="15"/>
      <c r="I22" s="15"/>
      <c r="J22" s="15"/>
      <c r="K22" s="15"/>
      <c r="L22" s="15"/>
      <c r="M22" s="16"/>
      <c r="N22" s="64"/>
      <c r="O22" s="82"/>
      <c r="P22" s="85"/>
      <c r="S22" s="58"/>
      <c r="T22" s="69"/>
    </row>
    <row r="23" spans="2:42" ht="15" thickBot="1" x14ac:dyDescent="0.4">
      <c r="B23" s="77" t="s">
        <v>30</v>
      </c>
      <c r="C23" s="81">
        <f>C19+F19-I19-L19</f>
        <v>-19.126558366315805</v>
      </c>
      <c r="D23" s="54" t="s">
        <v>36</v>
      </c>
      <c r="E23" s="15"/>
      <c r="F23" s="15"/>
      <c r="G23" s="15"/>
      <c r="H23" s="15"/>
      <c r="I23" s="15"/>
      <c r="J23" s="15"/>
      <c r="K23" s="15"/>
      <c r="L23" s="15"/>
      <c r="M23" s="16"/>
      <c r="N23" s="64"/>
      <c r="O23" s="82" t="s">
        <v>53</v>
      </c>
      <c r="P23" s="82">
        <f>D11</f>
        <v>0</v>
      </c>
      <c r="S23" s="58" t="s">
        <v>68</v>
      </c>
      <c r="T23" s="69">
        <v>903</v>
      </c>
    </row>
    <row r="24" spans="2:42" x14ac:dyDescent="0.35">
      <c r="B24" s="66"/>
      <c r="C24" s="45"/>
      <c r="D24" s="15"/>
      <c r="E24" s="15"/>
      <c r="F24" s="15"/>
      <c r="G24" s="15"/>
      <c r="H24" s="15"/>
      <c r="I24" s="15"/>
      <c r="J24" s="15"/>
      <c r="K24" s="15"/>
      <c r="L24" s="15"/>
      <c r="M24" s="16"/>
      <c r="N24" s="64"/>
      <c r="O24" s="82" t="s">
        <v>54</v>
      </c>
      <c r="P24" s="82">
        <f>D14</f>
        <v>18</v>
      </c>
    </row>
    <row r="25" spans="2:42" x14ac:dyDescent="0.35">
      <c r="B25" s="271" t="s">
        <v>126</v>
      </c>
      <c r="C25" s="273" t="str">
        <f>IF(C23&lt;0, AE8,W18)</f>
        <v>NO. Measure results in negative source energy savings.  This means more energy will be required to meet the heating and cooling end uses after intervention by the EE program compared to what is currently required.</v>
      </c>
      <c r="D25" s="273"/>
      <c r="E25" s="273"/>
      <c r="F25" s="273"/>
      <c r="G25" s="273"/>
      <c r="H25" s="273"/>
      <c r="I25" s="273"/>
      <c r="J25" s="273"/>
      <c r="K25" s="273"/>
      <c r="L25" s="273"/>
      <c r="M25" s="16"/>
      <c r="N25" s="64"/>
      <c r="O25" s="82" t="s">
        <v>55</v>
      </c>
      <c r="P25" s="82">
        <f>IF(P23=0,0, (P21*P19*(1/P23)/1000)*P14/1000000)</f>
        <v>0</v>
      </c>
    </row>
    <row r="26" spans="2:42" x14ac:dyDescent="0.35">
      <c r="B26" s="272"/>
      <c r="C26" s="274"/>
      <c r="D26" s="274"/>
      <c r="E26" s="274"/>
      <c r="F26" s="274"/>
      <c r="G26" s="274"/>
      <c r="H26" s="274"/>
      <c r="I26" s="274"/>
      <c r="J26" s="274"/>
      <c r="K26" s="274"/>
      <c r="L26" s="274"/>
      <c r="M26" s="18"/>
      <c r="N26" s="65"/>
      <c r="O26" s="82" t="s">
        <v>56</v>
      </c>
      <c r="P26" s="83">
        <f>(P21*P19*(1/P24)/1000)*P14/1000000</f>
        <v>11.88167584</v>
      </c>
    </row>
    <row r="28" spans="2:42" ht="2.75" customHeight="1" x14ac:dyDescent="0.35"/>
    <row r="29" spans="2:42" ht="18.5" x14ac:dyDescent="0.45">
      <c r="B29" s="76" t="str">
        <f>'Screening Criteria-80AFUE'!B29</f>
        <v>Scenario 2: Current TRM method - Existing cooling system</v>
      </c>
      <c r="C29" s="50"/>
      <c r="D29" s="51"/>
      <c r="E29" s="51"/>
      <c r="F29" s="51"/>
      <c r="G29" s="51"/>
      <c r="H29" s="51"/>
      <c r="I29" s="51"/>
      <c r="J29" s="51"/>
      <c r="K29" s="51"/>
      <c r="L29" s="51"/>
      <c r="M29" s="52"/>
      <c r="N29" s="62"/>
      <c r="O29" s="62"/>
      <c r="P29" s="63"/>
    </row>
    <row r="30" spans="2:42" x14ac:dyDescent="0.35">
      <c r="B30" s="66"/>
      <c r="C30" s="45"/>
      <c r="D30" s="15"/>
      <c r="E30" s="15"/>
      <c r="F30" s="15"/>
      <c r="G30" s="15"/>
      <c r="H30" s="15"/>
      <c r="I30" s="15"/>
      <c r="J30" s="15"/>
      <c r="K30" s="15"/>
      <c r="L30" s="15"/>
      <c r="M30" s="16"/>
      <c r="N30" s="64"/>
      <c r="O30" s="265" t="s">
        <v>58</v>
      </c>
      <c r="P30" s="266"/>
    </row>
    <row r="31" spans="2:42" x14ac:dyDescent="0.35">
      <c r="B31" s="66" t="s">
        <v>23</v>
      </c>
      <c r="C31" s="45" t="s">
        <v>28</v>
      </c>
      <c r="D31" s="90">
        <f>D10</f>
        <v>0.95</v>
      </c>
      <c r="E31" s="15" t="s">
        <v>29</v>
      </c>
      <c r="F31" s="15"/>
      <c r="G31" s="15"/>
      <c r="H31" s="15"/>
      <c r="I31" s="15"/>
      <c r="J31" s="15"/>
      <c r="K31" s="15"/>
      <c r="L31" s="15"/>
      <c r="M31" s="16"/>
      <c r="N31" s="64"/>
      <c r="O31" s="82" t="s">
        <v>46</v>
      </c>
      <c r="P31" s="82">
        <f>VLOOKUP(C12, S10:U14,3, )</f>
        <v>1840</v>
      </c>
    </row>
    <row r="32" spans="2:42" x14ac:dyDescent="0.35">
      <c r="B32" s="66" t="s">
        <v>24</v>
      </c>
      <c r="C32" s="98" t="s">
        <v>22</v>
      </c>
      <c r="D32" s="86">
        <v>13</v>
      </c>
      <c r="E32" s="15" t="s">
        <v>38</v>
      </c>
      <c r="F32" s="15"/>
      <c r="G32" s="15"/>
      <c r="H32" s="15"/>
      <c r="I32" s="15"/>
      <c r="J32" s="15"/>
      <c r="K32" s="15"/>
      <c r="L32" s="15"/>
      <c r="M32" s="16"/>
      <c r="N32" s="64"/>
      <c r="O32" s="82" t="s">
        <v>45</v>
      </c>
      <c r="P32" s="82">
        <v>33000</v>
      </c>
    </row>
    <row r="33" spans="2:17" x14ac:dyDescent="0.35">
      <c r="B33" s="66" t="s">
        <v>57</v>
      </c>
      <c r="C33" s="46" t="str">
        <f>C12</f>
        <v>2 (Chicago, IL)</v>
      </c>
      <c r="D33" s="89"/>
      <c r="E33" s="15"/>
      <c r="F33" s="15"/>
      <c r="G33" s="15"/>
      <c r="H33" s="15"/>
      <c r="I33" s="15"/>
      <c r="J33" s="15"/>
      <c r="K33" s="15"/>
      <c r="L33" s="15"/>
      <c r="M33" s="16"/>
      <c r="N33" s="64"/>
      <c r="O33" s="82" t="s">
        <v>47</v>
      </c>
      <c r="P33" s="82">
        <f>D34</f>
        <v>9.1999999999999993</v>
      </c>
    </row>
    <row r="34" spans="2:17" x14ac:dyDescent="0.35">
      <c r="B34" s="66" t="s">
        <v>25</v>
      </c>
      <c r="C34" s="15" t="s">
        <v>27</v>
      </c>
      <c r="D34" s="91">
        <f>D13</f>
        <v>9.1999999999999993</v>
      </c>
      <c r="E34" s="15" t="s">
        <v>50</v>
      </c>
      <c r="F34" s="15"/>
      <c r="G34" s="15"/>
      <c r="H34" s="15"/>
      <c r="I34" s="15"/>
      <c r="J34" s="15"/>
      <c r="K34" s="15"/>
      <c r="L34" s="15"/>
      <c r="M34" s="16"/>
      <c r="N34" s="64"/>
      <c r="O34" s="82" t="s">
        <v>48</v>
      </c>
      <c r="P34" s="82">
        <v>1</v>
      </c>
    </row>
    <row r="35" spans="2:17" x14ac:dyDescent="0.35">
      <c r="B35" s="66" t="s">
        <v>26</v>
      </c>
      <c r="C35" s="15" t="s">
        <v>27</v>
      </c>
      <c r="D35" s="91">
        <f>D14</f>
        <v>18</v>
      </c>
      <c r="E35" s="11" t="s">
        <v>38</v>
      </c>
      <c r="F35" s="15"/>
      <c r="G35" s="15"/>
      <c r="H35" s="15"/>
      <c r="I35" s="15"/>
      <c r="J35" s="15"/>
      <c r="K35" s="15"/>
      <c r="L35" s="15"/>
      <c r="M35" s="16"/>
      <c r="N35" s="64"/>
      <c r="O35" s="82" t="s">
        <v>60</v>
      </c>
      <c r="P35" s="82">
        <f>E5</f>
        <v>10781.92</v>
      </c>
    </row>
    <row r="36" spans="2:17" x14ac:dyDescent="0.35">
      <c r="B36" s="66"/>
      <c r="C36" s="45"/>
      <c r="D36" s="15"/>
      <c r="E36" s="15"/>
      <c r="F36" s="15"/>
      <c r="G36" s="15"/>
      <c r="H36" s="15"/>
      <c r="I36" s="15"/>
      <c r="J36" s="15"/>
      <c r="K36" s="15"/>
      <c r="L36" s="15"/>
      <c r="M36" s="16"/>
      <c r="N36" s="64"/>
      <c r="O36" s="82" t="s">
        <v>49</v>
      </c>
      <c r="P36" s="83">
        <f>((P31*P32*(1/(P33*P34*(1-0))))/1000)*P35/1000000</f>
        <v>71.160672000000019</v>
      </c>
    </row>
    <row r="37" spans="2:17" x14ac:dyDescent="0.35">
      <c r="B37" s="275" t="s">
        <v>30</v>
      </c>
      <c r="C37" s="276" t="s">
        <v>31</v>
      </c>
      <c r="D37" s="276"/>
      <c r="E37" s="277" t="s">
        <v>32</v>
      </c>
      <c r="F37" s="269" t="s">
        <v>33</v>
      </c>
      <c r="G37" s="269"/>
      <c r="H37" s="277" t="s">
        <v>12</v>
      </c>
      <c r="I37" s="267" t="s">
        <v>34</v>
      </c>
      <c r="J37" s="267"/>
      <c r="K37" s="268" t="s">
        <v>12</v>
      </c>
      <c r="L37" s="269" t="s">
        <v>35</v>
      </c>
      <c r="M37" s="270"/>
      <c r="N37" s="64"/>
      <c r="O37" s="150" t="s">
        <v>122</v>
      </c>
      <c r="P37" s="82">
        <f>P31*P32/1000000</f>
        <v>60.72</v>
      </c>
      <c r="Q37" t="s">
        <v>124</v>
      </c>
    </row>
    <row r="38" spans="2:17" x14ac:dyDescent="0.35">
      <c r="B38" s="275"/>
      <c r="C38" s="276"/>
      <c r="D38" s="276"/>
      <c r="E38" s="277"/>
      <c r="F38" s="269"/>
      <c r="G38" s="269"/>
      <c r="H38" s="277"/>
      <c r="I38" s="267"/>
      <c r="J38" s="267"/>
      <c r="K38" s="268"/>
      <c r="L38" s="269"/>
      <c r="M38" s="270"/>
      <c r="N38" s="64"/>
      <c r="O38" s="82" t="s">
        <v>29</v>
      </c>
      <c r="P38" s="84">
        <f>D31</f>
        <v>0.95</v>
      </c>
    </row>
    <row r="39" spans="2:17" x14ac:dyDescent="0.35">
      <c r="B39" s="66"/>
      <c r="C39" s="45"/>
      <c r="D39" s="15"/>
      <c r="E39" s="15"/>
      <c r="F39" s="15"/>
      <c r="G39" s="15"/>
      <c r="H39" s="15"/>
      <c r="I39" s="15"/>
      <c r="J39" s="15"/>
      <c r="K39" s="15"/>
      <c r="L39" s="15"/>
      <c r="M39" s="16"/>
      <c r="N39" s="64"/>
      <c r="O39" s="82" t="s">
        <v>51</v>
      </c>
      <c r="P39" s="82">
        <f>P37/P38</f>
        <v>63.915789473684214</v>
      </c>
      <c r="Q39" t="s">
        <v>124</v>
      </c>
    </row>
    <row r="40" spans="2:17" x14ac:dyDescent="0.35">
      <c r="B40" s="66" t="s">
        <v>30</v>
      </c>
      <c r="C40" s="79">
        <f>P39</f>
        <v>63.915789473684214</v>
      </c>
      <c r="D40" s="47" t="s">
        <v>36</v>
      </c>
      <c r="E40" s="45" t="s">
        <v>32</v>
      </c>
      <c r="F40" s="80">
        <f>P46</f>
        <v>16.451551163076925</v>
      </c>
      <c r="G40" s="48" t="s">
        <v>36</v>
      </c>
      <c r="H40" s="45" t="s">
        <v>12</v>
      </c>
      <c r="I40" s="80">
        <f>P36</f>
        <v>71.160672000000019</v>
      </c>
      <c r="J40" s="48" t="s">
        <v>36</v>
      </c>
      <c r="K40" s="45" t="s">
        <v>12</v>
      </c>
      <c r="L40" s="80">
        <f>P47</f>
        <v>11.88167584</v>
      </c>
      <c r="M40" s="49" t="s">
        <v>36</v>
      </c>
      <c r="N40" s="64"/>
      <c r="O40" s="82" t="s">
        <v>52</v>
      </c>
      <c r="P40" s="82">
        <v>34800</v>
      </c>
    </row>
    <row r="41" spans="2:17" x14ac:dyDescent="0.35">
      <c r="B41" s="66"/>
      <c r="C41" s="45"/>
      <c r="D41" s="15"/>
      <c r="E41" s="15"/>
      <c r="F41" s="15"/>
      <c r="G41" s="15"/>
      <c r="H41" s="15"/>
      <c r="I41" s="15"/>
      <c r="J41" s="15"/>
      <c r="K41" s="15"/>
      <c r="L41" s="15"/>
      <c r="M41" s="16"/>
      <c r="N41" s="64"/>
      <c r="O41" s="82" t="s">
        <v>74</v>
      </c>
      <c r="P41" s="85">
        <f>VLOOKUP(C12,S17:T23,2)</f>
        <v>570</v>
      </c>
    </row>
    <row r="42" spans="2:17" x14ac:dyDescent="0.35">
      <c r="B42" s="66" t="s">
        <v>160</v>
      </c>
      <c r="C42" s="176">
        <f>C40-I40</f>
        <v>-7.2448825263158056</v>
      </c>
      <c r="D42" s="15" t="s">
        <v>36</v>
      </c>
      <c r="E42" s="15"/>
      <c r="F42" s="15"/>
      <c r="G42" s="15"/>
      <c r="H42" s="15"/>
      <c r="I42" s="15"/>
      <c r="J42" s="15"/>
      <c r="K42" s="15"/>
      <c r="L42" s="15"/>
      <c r="M42" s="16"/>
      <c r="N42" s="64"/>
      <c r="O42" s="82"/>
      <c r="P42" s="85"/>
    </row>
    <row r="43" spans="2:17" ht="15" thickBot="1" x14ac:dyDescent="0.4">
      <c r="B43" s="66" t="s">
        <v>161</v>
      </c>
      <c r="C43" s="177">
        <f>F40-L40</f>
        <v>4.5698753230769249</v>
      </c>
      <c r="D43" s="15" t="s">
        <v>36</v>
      </c>
      <c r="E43" s="15"/>
      <c r="F43" s="15"/>
      <c r="G43" s="15"/>
      <c r="H43" s="15"/>
      <c r="I43" s="15"/>
      <c r="J43" s="15"/>
      <c r="K43" s="15"/>
      <c r="L43" s="15"/>
      <c r="M43" s="16"/>
      <c r="N43" s="64"/>
      <c r="O43" s="82"/>
      <c r="P43" s="85"/>
    </row>
    <row r="44" spans="2:17" ht="15" thickBot="1" x14ac:dyDescent="0.4">
      <c r="B44" s="74" t="s">
        <v>30</v>
      </c>
      <c r="C44" s="81">
        <f>C40+F40-I40-L40</f>
        <v>-2.6750072032388772</v>
      </c>
      <c r="D44" s="54" t="s">
        <v>36</v>
      </c>
      <c r="E44" s="15"/>
      <c r="F44" s="15"/>
      <c r="G44" s="15"/>
      <c r="H44" s="15"/>
      <c r="I44" s="15"/>
      <c r="J44" s="15"/>
      <c r="K44" s="15"/>
      <c r="L44" s="15"/>
      <c r="M44" s="16"/>
      <c r="N44" s="64"/>
      <c r="O44" s="82" t="s">
        <v>53</v>
      </c>
      <c r="P44" s="82">
        <f>D32</f>
        <v>13</v>
      </c>
    </row>
    <row r="45" spans="2:17" x14ac:dyDescent="0.35">
      <c r="B45" s="66"/>
      <c r="C45" s="45"/>
      <c r="D45" s="15"/>
      <c r="E45" s="15"/>
      <c r="F45" s="15"/>
      <c r="G45" s="15"/>
      <c r="H45" s="15"/>
      <c r="I45" s="15"/>
      <c r="J45" s="15"/>
      <c r="K45" s="15"/>
      <c r="L45" s="15"/>
      <c r="M45" s="16"/>
      <c r="N45" s="64"/>
      <c r="O45" s="82" t="s">
        <v>54</v>
      </c>
      <c r="P45" s="82">
        <f>D35</f>
        <v>18</v>
      </c>
    </row>
    <row r="46" spans="2:17" x14ac:dyDescent="0.35">
      <c r="B46" s="271" t="s">
        <v>37</v>
      </c>
      <c r="C46" s="278" t="str">
        <f>IF(C44&lt;0,AE8,W18)</f>
        <v>NO. Measure results in negative source energy savings.  This means more energy will be required to meet the heating and cooling end uses after intervention by the EE program compared to what is currently required.</v>
      </c>
      <c r="D46" s="278"/>
      <c r="E46" s="278"/>
      <c r="F46" s="278"/>
      <c r="G46" s="278"/>
      <c r="H46" s="278"/>
      <c r="I46" s="278"/>
      <c r="J46" s="278"/>
      <c r="K46" s="278"/>
      <c r="L46" s="278"/>
      <c r="M46" s="279"/>
      <c r="N46" s="64"/>
      <c r="O46" s="82" t="s">
        <v>55</v>
      </c>
      <c r="P46" s="82">
        <f>(P41*P40*(1/P44)/1000)*P35/1000000</f>
        <v>16.451551163076925</v>
      </c>
    </row>
    <row r="47" spans="2:17" x14ac:dyDescent="0.35">
      <c r="B47" s="272"/>
      <c r="C47" s="280"/>
      <c r="D47" s="280"/>
      <c r="E47" s="280"/>
      <c r="F47" s="280"/>
      <c r="G47" s="280"/>
      <c r="H47" s="280"/>
      <c r="I47" s="280"/>
      <c r="J47" s="280"/>
      <c r="K47" s="280"/>
      <c r="L47" s="280"/>
      <c r="M47" s="281"/>
      <c r="N47" s="65"/>
      <c r="O47" s="82" t="s">
        <v>56</v>
      </c>
      <c r="P47" s="83">
        <f>(P41*P40*(1/P45)/1000)*P35/1000000</f>
        <v>11.88167584</v>
      </c>
    </row>
    <row r="49" spans="2:17" ht="20.399999999999999" customHeight="1" x14ac:dyDescent="0.35"/>
    <row r="50" spans="2:17" ht="18.5" x14ac:dyDescent="0.45">
      <c r="B50" s="76" t="str">
        <f>'Screening Criteria-80AFUE'!B50</f>
        <v>Scenario 3: Scenario 2 inputs with source energy included for existing natural gas heating system</v>
      </c>
      <c r="C50" s="50"/>
      <c r="D50" s="51"/>
      <c r="E50" s="51"/>
      <c r="F50" s="51"/>
      <c r="G50" s="51"/>
      <c r="H50" s="51"/>
      <c r="I50" s="51"/>
      <c r="J50" s="51"/>
      <c r="K50" s="51"/>
      <c r="L50" s="51"/>
      <c r="M50" s="52"/>
      <c r="N50" s="62"/>
      <c r="O50" s="62"/>
      <c r="P50" s="63"/>
    </row>
    <row r="51" spans="2:17" x14ac:dyDescent="0.35">
      <c r="B51" s="66"/>
      <c r="C51" s="45"/>
      <c r="D51" s="15"/>
      <c r="E51" s="15"/>
      <c r="F51" s="15"/>
      <c r="G51" s="15"/>
      <c r="H51" s="15"/>
      <c r="I51" s="15"/>
      <c r="J51" s="15"/>
      <c r="K51" s="15"/>
      <c r="L51" s="15"/>
      <c r="M51" s="16"/>
      <c r="N51" s="64"/>
      <c r="O51" s="265" t="s">
        <v>58</v>
      </c>
      <c r="P51" s="266"/>
    </row>
    <row r="52" spans="2:17" hidden="1" x14ac:dyDescent="0.35">
      <c r="B52" s="66" t="s">
        <v>23</v>
      </c>
      <c r="C52" s="45" t="s">
        <v>28</v>
      </c>
      <c r="D52" s="90">
        <f>D31</f>
        <v>0.95</v>
      </c>
      <c r="E52" s="15" t="s">
        <v>29</v>
      </c>
      <c r="F52" s="15"/>
      <c r="G52" s="15"/>
      <c r="H52" s="15"/>
      <c r="I52" s="15"/>
      <c r="J52" s="15"/>
      <c r="K52" s="15"/>
      <c r="L52" s="15"/>
      <c r="M52" s="16"/>
      <c r="N52" s="64"/>
      <c r="O52" s="82" t="s">
        <v>59</v>
      </c>
      <c r="P52" s="82">
        <f>VLOOKUP(C12, S10:U14,3, )</f>
        <v>1840</v>
      </c>
    </row>
    <row r="53" spans="2:17" hidden="1" x14ac:dyDescent="0.35">
      <c r="B53" s="66" t="s">
        <v>24</v>
      </c>
      <c r="C53" s="45" t="s">
        <v>22</v>
      </c>
      <c r="D53" s="91">
        <f>D32</f>
        <v>13</v>
      </c>
      <c r="E53" s="15" t="s">
        <v>38</v>
      </c>
      <c r="F53" s="15"/>
      <c r="G53" s="15"/>
      <c r="H53" s="15"/>
      <c r="I53" s="15"/>
      <c r="J53" s="15"/>
      <c r="K53" s="15"/>
      <c r="L53" s="15"/>
      <c r="M53" s="16"/>
      <c r="N53" s="64"/>
      <c r="O53" s="82" t="s">
        <v>45</v>
      </c>
      <c r="P53" s="82">
        <v>33000</v>
      </c>
    </row>
    <row r="54" spans="2:17" hidden="1" x14ac:dyDescent="0.35">
      <c r="B54" s="66" t="s">
        <v>57</v>
      </c>
      <c r="C54" s="46" t="str">
        <f>C12</f>
        <v>2 (Chicago, IL)</v>
      </c>
      <c r="D54" s="89"/>
      <c r="E54" s="15"/>
      <c r="F54" s="15"/>
      <c r="G54" s="15"/>
      <c r="H54" s="15"/>
      <c r="I54" s="15"/>
      <c r="J54" s="15"/>
      <c r="K54" s="15"/>
      <c r="L54" s="15"/>
      <c r="M54" s="16"/>
      <c r="N54" s="64"/>
      <c r="O54" s="82" t="s">
        <v>47</v>
      </c>
      <c r="P54" s="82">
        <f>D55</f>
        <v>9.1999999999999993</v>
      </c>
    </row>
    <row r="55" spans="2:17" hidden="1" x14ac:dyDescent="0.35">
      <c r="B55" s="66" t="s">
        <v>25</v>
      </c>
      <c r="C55" s="15" t="s">
        <v>27</v>
      </c>
      <c r="D55" s="91">
        <f>D34</f>
        <v>9.1999999999999993</v>
      </c>
      <c r="E55" s="15" t="s">
        <v>50</v>
      </c>
      <c r="F55" s="15"/>
      <c r="G55" s="15"/>
      <c r="H55" s="15"/>
      <c r="I55" s="15"/>
      <c r="J55" s="15"/>
      <c r="K55" s="15"/>
      <c r="L55" s="15"/>
      <c r="M55" s="16"/>
      <c r="N55" s="64"/>
      <c r="O55" s="82" t="s">
        <v>48</v>
      </c>
      <c r="P55" s="82">
        <v>1</v>
      </c>
    </row>
    <row r="56" spans="2:17" hidden="1" x14ac:dyDescent="0.35">
      <c r="B56" s="66" t="s">
        <v>26</v>
      </c>
      <c r="C56" s="15" t="s">
        <v>27</v>
      </c>
      <c r="D56" s="91">
        <f>D35</f>
        <v>18</v>
      </c>
      <c r="E56" s="11" t="s">
        <v>38</v>
      </c>
      <c r="F56" s="15"/>
      <c r="G56" s="15"/>
      <c r="H56" s="15"/>
      <c r="I56" s="15"/>
      <c r="J56" s="15"/>
      <c r="K56" s="15"/>
      <c r="L56" s="15"/>
      <c r="M56" s="16"/>
      <c r="N56" s="64"/>
      <c r="O56" s="82" t="s">
        <v>60</v>
      </c>
      <c r="P56" s="82">
        <f>E5</f>
        <v>10781.92</v>
      </c>
    </row>
    <row r="57" spans="2:17" hidden="1" x14ac:dyDescent="0.35">
      <c r="B57" s="66"/>
      <c r="C57" s="45"/>
      <c r="D57" s="15"/>
      <c r="E57" s="15"/>
      <c r="F57" s="15"/>
      <c r="G57" s="15"/>
      <c r="H57" s="15"/>
      <c r="I57" s="15"/>
      <c r="J57" s="15"/>
      <c r="K57" s="15"/>
      <c r="L57" s="15"/>
      <c r="M57" s="16"/>
      <c r="N57" s="64"/>
      <c r="O57" s="82" t="s">
        <v>49</v>
      </c>
      <c r="P57" s="83">
        <f>((P52*P53*(1/(P54*P55*(1-0))))/1000)*P56/1000000</f>
        <v>71.160672000000019</v>
      </c>
    </row>
    <row r="58" spans="2:17" x14ac:dyDescent="0.35">
      <c r="B58" s="275" t="s">
        <v>30</v>
      </c>
      <c r="C58" s="282" t="s">
        <v>31</v>
      </c>
      <c r="D58" s="282"/>
      <c r="E58" s="277" t="s">
        <v>32</v>
      </c>
      <c r="F58" s="269" t="s">
        <v>33</v>
      </c>
      <c r="G58" s="269"/>
      <c r="H58" s="277" t="s">
        <v>12</v>
      </c>
      <c r="I58" s="267" t="s">
        <v>34</v>
      </c>
      <c r="J58" s="267"/>
      <c r="K58" s="268" t="s">
        <v>12</v>
      </c>
      <c r="L58" s="269" t="s">
        <v>35</v>
      </c>
      <c r="M58" s="270"/>
      <c r="N58" s="64"/>
      <c r="O58" s="150" t="s">
        <v>122</v>
      </c>
      <c r="P58" s="82">
        <f>P52*P53/1000000</f>
        <v>60.72</v>
      </c>
      <c r="Q58" t="s">
        <v>124</v>
      </c>
    </row>
    <row r="59" spans="2:17" x14ac:dyDescent="0.35">
      <c r="B59" s="275"/>
      <c r="C59" s="282"/>
      <c r="D59" s="282"/>
      <c r="E59" s="277"/>
      <c r="F59" s="269"/>
      <c r="G59" s="269"/>
      <c r="H59" s="277"/>
      <c r="I59" s="267"/>
      <c r="J59" s="267"/>
      <c r="K59" s="268"/>
      <c r="L59" s="269"/>
      <c r="M59" s="270"/>
      <c r="N59" s="64"/>
      <c r="O59" s="82" t="s">
        <v>29</v>
      </c>
      <c r="P59" s="84">
        <f>D52</f>
        <v>0.95</v>
      </c>
    </row>
    <row r="60" spans="2:17" x14ac:dyDescent="0.35">
      <c r="B60" s="66"/>
      <c r="C60" s="45"/>
      <c r="D60" s="15"/>
      <c r="E60" s="15"/>
      <c r="F60" s="15"/>
      <c r="G60" s="15"/>
      <c r="H60" s="15"/>
      <c r="I60" s="15"/>
      <c r="J60" s="15"/>
      <c r="K60" s="15"/>
      <c r="L60" s="15"/>
      <c r="M60" s="16"/>
      <c r="N60" s="64"/>
      <c r="O60" s="82" t="s">
        <v>51</v>
      </c>
      <c r="P60" s="82">
        <f>P58/P59</f>
        <v>63.915789473684214</v>
      </c>
      <c r="Q60" t="s">
        <v>124</v>
      </c>
    </row>
    <row r="61" spans="2:17" x14ac:dyDescent="0.35">
      <c r="B61" s="66" t="s">
        <v>30</v>
      </c>
      <c r="C61" s="56">
        <f>P60*1.01</f>
        <v>64.554947368421054</v>
      </c>
      <c r="D61" s="48" t="s">
        <v>36</v>
      </c>
      <c r="E61" s="45" t="s">
        <v>32</v>
      </c>
      <c r="F61" s="80">
        <f>P67</f>
        <v>16.451551163076925</v>
      </c>
      <c r="G61" s="48" t="s">
        <v>36</v>
      </c>
      <c r="H61" s="45" t="s">
        <v>12</v>
      </c>
      <c r="I61" s="80">
        <f>P57</f>
        <v>71.160672000000019</v>
      </c>
      <c r="J61" s="48" t="s">
        <v>36</v>
      </c>
      <c r="K61" s="45" t="s">
        <v>12</v>
      </c>
      <c r="L61" s="80">
        <f>P68</f>
        <v>11.88167584</v>
      </c>
      <c r="M61" s="49" t="s">
        <v>36</v>
      </c>
      <c r="N61" s="64"/>
      <c r="O61" s="82" t="s">
        <v>52</v>
      </c>
      <c r="P61" s="82">
        <v>34800</v>
      </c>
    </row>
    <row r="62" spans="2:17" x14ac:dyDescent="0.35">
      <c r="B62" s="66"/>
      <c r="C62" s="45"/>
      <c r="D62" s="15"/>
      <c r="E62" s="15"/>
      <c r="F62" s="15"/>
      <c r="G62" s="15"/>
      <c r="H62" s="15"/>
      <c r="I62" s="15"/>
      <c r="J62" s="15"/>
      <c r="K62" s="15"/>
      <c r="L62" s="15"/>
      <c r="M62" s="16"/>
      <c r="N62" s="64"/>
      <c r="O62" s="82" t="s">
        <v>74</v>
      </c>
      <c r="P62" s="85">
        <f>VLOOKUP(C12,S17:T23,2)</f>
        <v>570</v>
      </c>
    </row>
    <row r="63" spans="2:17" x14ac:dyDescent="0.35">
      <c r="B63" s="66" t="s">
        <v>160</v>
      </c>
      <c r="C63" s="176">
        <f>C61-I61</f>
        <v>-6.6057246315789655</v>
      </c>
      <c r="D63" s="15" t="s">
        <v>36</v>
      </c>
      <c r="E63" s="15"/>
      <c r="F63" s="15"/>
      <c r="G63" s="15"/>
      <c r="H63" s="15"/>
      <c r="I63" s="15"/>
      <c r="J63" s="15"/>
      <c r="K63" s="15"/>
      <c r="L63" s="15"/>
      <c r="M63" s="16"/>
      <c r="N63" s="64"/>
      <c r="O63" s="82"/>
      <c r="P63" s="85"/>
    </row>
    <row r="64" spans="2:17" ht="15" thickBot="1" x14ac:dyDescent="0.4">
      <c r="B64" s="66" t="s">
        <v>161</v>
      </c>
      <c r="C64" s="177">
        <f>F61-L61</f>
        <v>4.5698753230769249</v>
      </c>
      <c r="D64" s="15" t="s">
        <v>36</v>
      </c>
      <c r="E64" s="15"/>
      <c r="F64" s="15"/>
      <c r="G64" s="15"/>
      <c r="H64" s="15"/>
      <c r="I64" s="15"/>
      <c r="J64" s="15"/>
      <c r="K64" s="15"/>
      <c r="L64" s="15"/>
      <c r="M64" s="16"/>
      <c r="N64" s="64"/>
      <c r="O64" s="82"/>
      <c r="P64" s="85"/>
    </row>
    <row r="65" spans="2:17" ht="15" thickBot="1" x14ac:dyDescent="0.4">
      <c r="B65" s="74" t="s">
        <v>30</v>
      </c>
      <c r="C65" s="73">
        <f>C61+F61-I61-L61</f>
        <v>-2.035849308502037</v>
      </c>
      <c r="D65" s="54" t="s">
        <v>36</v>
      </c>
      <c r="E65" s="15"/>
      <c r="F65" s="15"/>
      <c r="G65" s="15"/>
      <c r="H65" s="15"/>
      <c r="I65" s="15"/>
      <c r="J65" s="15"/>
      <c r="K65" s="15"/>
      <c r="L65" s="15"/>
      <c r="M65" s="16"/>
      <c r="N65" s="64"/>
      <c r="O65" s="82" t="s">
        <v>53</v>
      </c>
      <c r="P65" s="82">
        <f>D53</f>
        <v>13</v>
      </c>
    </row>
    <row r="66" spans="2:17" x14ac:dyDescent="0.35">
      <c r="B66" s="66"/>
      <c r="C66" s="45"/>
      <c r="D66" s="15"/>
      <c r="E66" s="15"/>
      <c r="F66" s="15"/>
      <c r="G66" s="15"/>
      <c r="H66" s="15"/>
      <c r="I66" s="15"/>
      <c r="J66" s="15"/>
      <c r="K66" s="15"/>
      <c r="L66" s="15"/>
      <c r="M66" s="16"/>
      <c r="N66" s="64"/>
      <c r="O66" s="82" t="s">
        <v>54</v>
      </c>
      <c r="P66" s="82">
        <f>D56</f>
        <v>18</v>
      </c>
    </row>
    <row r="67" spans="2:17" x14ac:dyDescent="0.35">
      <c r="B67" s="271" t="s">
        <v>37</v>
      </c>
      <c r="C67" s="278" t="str">
        <f>IF(C65&lt;0,AE8,W18)</f>
        <v>NO. Measure results in negative source energy savings.  This means more energy will be required to meet the heating and cooling end uses after intervention by the EE program compared to what is currently required.</v>
      </c>
      <c r="D67" s="278"/>
      <c r="E67" s="278"/>
      <c r="F67" s="278"/>
      <c r="G67" s="278"/>
      <c r="H67" s="278"/>
      <c r="I67" s="278"/>
      <c r="J67" s="278"/>
      <c r="K67" s="278"/>
      <c r="L67" s="278"/>
      <c r="M67" s="279"/>
      <c r="N67" s="64"/>
      <c r="O67" s="82" t="s">
        <v>55</v>
      </c>
      <c r="P67" s="82">
        <f>(P62*P61*(1/P65)/1000)*P56/1000000</f>
        <v>16.451551163076925</v>
      </c>
    </row>
    <row r="68" spans="2:17" x14ac:dyDescent="0.35">
      <c r="B68" s="272"/>
      <c r="C68" s="280"/>
      <c r="D68" s="280"/>
      <c r="E68" s="280"/>
      <c r="F68" s="280"/>
      <c r="G68" s="280"/>
      <c r="H68" s="280"/>
      <c r="I68" s="280"/>
      <c r="J68" s="280"/>
      <c r="K68" s="280"/>
      <c r="L68" s="280"/>
      <c r="M68" s="281"/>
      <c r="N68" s="65"/>
      <c r="O68" s="82" t="s">
        <v>56</v>
      </c>
      <c r="P68" s="83">
        <f>(P62*P61*(1/P66)/1000)*P56/1000000</f>
        <v>11.88167584</v>
      </c>
    </row>
    <row r="70" spans="2:17" ht="10.9" hidden="1" customHeight="1" x14ac:dyDescent="0.35"/>
    <row r="71" spans="2:17" ht="18.5" x14ac:dyDescent="0.45">
      <c r="B71" s="76" t="str">
        <f>'Screening Criteria-80AFUE'!B71</f>
        <v>Scenario 4: Scenario 2 inputs with SITE energy as screening criteria</v>
      </c>
      <c r="C71" s="50"/>
      <c r="D71" s="51"/>
      <c r="E71" s="51"/>
      <c r="F71" s="51"/>
      <c r="G71" s="51"/>
      <c r="H71" s="51"/>
      <c r="I71" s="51"/>
      <c r="J71" s="51"/>
      <c r="K71" s="51"/>
      <c r="L71" s="51"/>
      <c r="M71" s="52"/>
      <c r="N71" s="62"/>
      <c r="O71" s="62"/>
      <c r="P71" s="63"/>
    </row>
    <row r="72" spans="2:17" x14ac:dyDescent="0.35">
      <c r="B72" s="66"/>
      <c r="C72" s="45"/>
      <c r="D72" s="15"/>
      <c r="E72" s="15"/>
      <c r="F72" s="15"/>
      <c r="G72" s="15"/>
      <c r="H72" s="15"/>
      <c r="I72" s="15"/>
      <c r="J72" s="15"/>
      <c r="K72" s="15"/>
      <c r="L72" s="15"/>
      <c r="M72" s="16"/>
      <c r="N72" s="64"/>
      <c r="O72" s="265" t="s">
        <v>58</v>
      </c>
      <c r="P72" s="266"/>
    </row>
    <row r="73" spans="2:17" hidden="1" x14ac:dyDescent="0.35">
      <c r="B73" s="66" t="s">
        <v>23</v>
      </c>
      <c r="C73" s="45" t="s">
        <v>28</v>
      </c>
      <c r="D73" s="90">
        <f>D52</f>
        <v>0.95</v>
      </c>
      <c r="E73" s="15" t="s">
        <v>29</v>
      </c>
      <c r="F73" s="15"/>
      <c r="G73" s="15"/>
      <c r="H73" s="15"/>
      <c r="I73" s="15"/>
      <c r="J73" s="15"/>
      <c r="K73" s="15"/>
      <c r="L73" s="15"/>
      <c r="M73" s="16"/>
      <c r="N73" s="64"/>
      <c r="O73" s="82" t="s">
        <v>46</v>
      </c>
      <c r="P73" s="82">
        <f>VLOOKUP(C12, S10:U14,3, )</f>
        <v>1840</v>
      </c>
    </row>
    <row r="74" spans="2:17" hidden="1" x14ac:dyDescent="0.35">
      <c r="B74" s="66" t="s">
        <v>24</v>
      </c>
      <c r="C74" s="45" t="s">
        <v>22</v>
      </c>
      <c r="D74" s="91">
        <f>D53</f>
        <v>13</v>
      </c>
      <c r="E74" s="15" t="s">
        <v>38</v>
      </c>
      <c r="F74" s="15"/>
      <c r="G74" s="15"/>
      <c r="H74" s="15"/>
      <c r="I74" s="15"/>
      <c r="J74" s="15"/>
      <c r="K74" s="15"/>
      <c r="L74" s="15"/>
      <c r="M74" s="16"/>
      <c r="N74" s="64"/>
      <c r="O74" s="82" t="s">
        <v>45</v>
      </c>
      <c r="P74" s="82">
        <v>33000</v>
      </c>
    </row>
    <row r="75" spans="2:17" hidden="1" x14ac:dyDescent="0.35">
      <c r="B75" s="66" t="s">
        <v>57</v>
      </c>
      <c r="C75" s="46" t="str">
        <f>C12</f>
        <v>2 (Chicago, IL)</v>
      </c>
      <c r="D75" s="89"/>
      <c r="E75" s="15"/>
      <c r="F75" s="15"/>
      <c r="G75" s="15"/>
      <c r="H75" s="15"/>
      <c r="I75" s="15"/>
      <c r="J75" s="15"/>
      <c r="K75" s="15"/>
      <c r="L75" s="15"/>
      <c r="M75" s="16"/>
      <c r="N75" s="64"/>
      <c r="O75" s="82" t="s">
        <v>47</v>
      </c>
      <c r="P75" s="82">
        <f>D76</f>
        <v>9.1999999999999993</v>
      </c>
    </row>
    <row r="76" spans="2:17" hidden="1" x14ac:dyDescent="0.35">
      <c r="B76" s="66" t="s">
        <v>25</v>
      </c>
      <c r="C76" s="15" t="s">
        <v>27</v>
      </c>
      <c r="D76" s="91">
        <f>D55</f>
        <v>9.1999999999999993</v>
      </c>
      <c r="E76" s="15" t="s">
        <v>50</v>
      </c>
      <c r="F76" s="15"/>
      <c r="G76" s="15"/>
      <c r="H76" s="15"/>
      <c r="I76" s="15"/>
      <c r="J76" s="15"/>
      <c r="K76" s="15"/>
      <c r="L76" s="15"/>
      <c r="M76" s="16"/>
      <c r="N76" s="64"/>
      <c r="O76" s="82" t="s">
        <v>48</v>
      </c>
      <c r="P76" s="82">
        <v>1</v>
      </c>
    </row>
    <row r="77" spans="2:17" hidden="1" x14ac:dyDescent="0.35">
      <c r="B77" s="66" t="s">
        <v>26</v>
      </c>
      <c r="C77" s="15" t="s">
        <v>27</v>
      </c>
      <c r="D77" s="91">
        <f>D56</f>
        <v>18</v>
      </c>
      <c r="E77" s="11" t="s">
        <v>38</v>
      </c>
      <c r="F77" s="15"/>
      <c r="G77" s="15"/>
      <c r="H77" s="15"/>
      <c r="I77" s="15"/>
      <c r="J77" s="15"/>
      <c r="K77" s="15"/>
      <c r="L77" s="15"/>
      <c r="M77" s="16"/>
      <c r="N77" s="64"/>
      <c r="O77" s="82" t="s">
        <v>60</v>
      </c>
      <c r="P77" s="82">
        <f>E5</f>
        <v>10781.92</v>
      </c>
    </row>
    <row r="78" spans="2:17" hidden="1" x14ac:dyDescent="0.35">
      <c r="B78" s="66"/>
      <c r="C78" s="45"/>
      <c r="D78" s="15"/>
      <c r="E78" s="15"/>
      <c r="F78" s="15"/>
      <c r="G78" s="15"/>
      <c r="H78" s="15"/>
      <c r="I78" s="15"/>
      <c r="J78" s="15"/>
      <c r="K78" s="15"/>
      <c r="L78" s="15"/>
      <c r="M78" s="16"/>
      <c r="N78" s="64"/>
      <c r="O78" s="82" t="s">
        <v>49</v>
      </c>
      <c r="P78" s="83">
        <f>((P73*P74*(1/(P75*P76*(1-0))))/1000)*P77/1000000</f>
        <v>71.160672000000019</v>
      </c>
    </row>
    <row r="79" spans="2:17" x14ac:dyDescent="0.35">
      <c r="B79" s="275" t="s">
        <v>39</v>
      </c>
      <c r="C79" s="276" t="s">
        <v>31</v>
      </c>
      <c r="D79" s="276"/>
      <c r="E79" s="277" t="s">
        <v>32</v>
      </c>
      <c r="F79" s="283" t="s">
        <v>33</v>
      </c>
      <c r="G79" s="283"/>
      <c r="H79" s="277" t="s">
        <v>12</v>
      </c>
      <c r="I79" s="284" t="s">
        <v>34</v>
      </c>
      <c r="J79" s="284"/>
      <c r="K79" s="268" t="s">
        <v>12</v>
      </c>
      <c r="L79" s="283" t="s">
        <v>35</v>
      </c>
      <c r="M79" s="285"/>
      <c r="N79" s="64"/>
      <c r="O79" s="150" t="s">
        <v>122</v>
      </c>
      <c r="P79" s="82">
        <f>P73*P74/1000000</f>
        <v>60.72</v>
      </c>
      <c r="Q79" t="s">
        <v>124</v>
      </c>
    </row>
    <row r="80" spans="2:17" x14ac:dyDescent="0.35">
      <c r="B80" s="275"/>
      <c r="C80" s="276"/>
      <c r="D80" s="276"/>
      <c r="E80" s="277"/>
      <c r="F80" s="283"/>
      <c r="G80" s="283"/>
      <c r="H80" s="277"/>
      <c r="I80" s="284"/>
      <c r="J80" s="284"/>
      <c r="K80" s="268"/>
      <c r="L80" s="283"/>
      <c r="M80" s="285"/>
      <c r="N80" s="64"/>
      <c r="O80" s="82" t="s">
        <v>29</v>
      </c>
      <c r="P80" s="84">
        <f>D73</f>
        <v>0.95</v>
      </c>
    </row>
    <row r="81" spans="2:17" x14ac:dyDescent="0.35">
      <c r="B81" s="66"/>
      <c r="C81" s="45"/>
      <c r="D81" s="15"/>
      <c r="E81" s="15"/>
      <c r="F81" s="15"/>
      <c r="G81" s="15"/>
      <c r="H81" s="15"/>
      <c r="I81" s="15"/>
      <c r="J81" s="15"/>
      <c r="K81" s="15"/>
      <c r="L81" s="15"/>
      <c r="M81" s="16"/>
      <c r="N81" s="64"/>
      <c r="O81" s="82" t="s">
        <v>51</v>
      </c>
      <c r="P81" s="82">
        <f>P79/P80</f>
        <v>63.915789473684214</v>
      </c>
      <c r="Q81" t="s">
        <v>124</v>
      </c>
    </row>
    <row r="82" spans="2:17" x14ac:dyDescent="0.35">
      <c r="B82" s="66" t="s">
        <v>39</v>
      </c>
      <c r="C82" s="78">
        <f>P81</f>
        <v>63.915789473684214</v>
      </c>
      <c r="D82" s="47" t="s">
        <v>36</v>
      </c>
      <c r="E82" s="45" t="s">
        <v>32</v>
      </c>
      <c r="F82" s="79">
        <f>P88/(P77/3412)</f>
        <v>5.2061870769230776</v>
      </c>
      <c r="G82" s="47" t="s">
        <v>36</v>
      </c>
      <c r="H82" s="45" t="s">
        <v>12</v>
      </c>
      <c r="I82" s="79">
        <f>P78/(P77/3412)</f>
        <v>22.519200000000005</v>
      </c>
      <c r="J82" s="47" t="s">
        <v>36</v>
      </c>
      <c r="K82" s="45" t="s">
        <v>12</v>
      </c>
      <c r="L82" s="79">
        <f>P90/(P77/3412)</f>
        <v>3.7600239999999996</v>
      </c>
      <c r="M82" s="53" t="s">
        <v>36</v>
      </c>
      <c r="N82" s="64"/>
      <c r="O82" s="82" t="s">
        <v>52</v>
      </c>
      <c r="P82" s="82">
        <v>34800</v>
      </c>
    </row>
    <row r="83" spans="2:17" x14ac:dyDescent="0.35">
      <c r="B83" s="66"/>
      <c r="C83" s="45"/>
      <c r="D83" s="15"/>
      <c r="E83" s="15"/>
      <c r="F83" s="15"/>
      <c r="G83" s="15"/>
      <c r="H83" s="15"/>
      <c r="I83" s="15"/>
      <c r="J83" s="15"/>
      <c r="K83" s="15"/>
      <c r="L83" s="15"/>
      <c r="M83" s="16"/>
      <c r="N83" s="64"/>
      <c r="O83" s="82" t="s">
        <v>74</v>
      </c>
      <c r="P83" s="85">
        <f>VLOOKUP(C12,S17:T23,2)</f>
        <v>570</v>
      </c>
    </row>
    <row r="84" spans="2:17" x14ac:dyDescent="0.35">
      <c r="B84" s="178" t="s">
        <v>162</v>
      </c>
      <c r="C84" s="176">
        <f>C82-I82</f>
        <v>41.396589473684209</v>
      </c>
      <c r="D84" s="15" t="s">
        <v>36</v>
      </c>
      <c r="E84" s="15"/>
      <c r="F84" s="15"/>
      <c r="G84" s="15"/>
      <c r="H84" s="15"/>
      <c r="I84" s="15"/>
      <c r="J84" s="15"/>
      <c r="K84" s="15"/>
      <c r="L84" s="15"/>
      <c r="M84" s="16"/>
      <c r="N84" s="64"/>
      <c r="O84" s="82"/>
      <c r="P84" s="85"/>
    </row>
    <row r="85" spans="2:17" ht="15" thickBot="1" x14ac:dyDescent="0.4">
      <c r="B85" s="178" t="s">
        <v>163</v>
      </c>
      <c r="C85" s="176">
        <f>F82-L82</f>
        <v>1.446163076923078</v>
      </c>
      <c r="D85" s="15" t="s">
        <v>36</v>
      </c>
      <c r="E85" s="15"/>
      <c r="F85" s="15"/>
      <c r="G85" s="15"/>
      <c r="H85" s="15"/>
      <c r="I85" s="15"/>
      <c r="J85" s="15"/>
      <c r="K85" s="15"/>
      <c r="L85" s="15"/>
      <c r="M85" s="16"/>
      <c r="N85" s="64"/>
      <c r="O85" s="82"/>
      <c r="P85" s="85"/>
    </row>
    <row r="86" spans="2:17" ht="15" thickBot="1" x14ac:dyDescent="0.4">
      <c r="B86" s="74" t="s">
        <v>39</v>
      </c>
      <c r="C86" s="75">
        <f>C82+F82-I82-L82</f>
        <v>42.84275255060728</v>
      </c>
      <c r="D86" s="54" t="s">
        <v>36</v>
      </c>
      <c r="E86" s="15"/>
      <c r="F86" s="15"/>
      <c r="G86" s="15"/>
      <c r="H86" s="15"/>
      <c r="I86" s="15"/>
      <c r="J86" s="15"/>
      <c r="K86" s="15"/>
      <c r="L86" s="15"/>
      <c r="M86" s="16"/>
      <c r="N86" s="64"/>
      <c r="O86" s="82" t="s">
        <v>53</v>
      </c>
      <c r="P86" s="82">
        <f>D74</f>
        <v>13</v>
      </c>
    </row>
    <row r="87" spans="2:17" hidden="1" x14ac:dyDescent="0.35">
      <c r="B87" s="286"/>
      <c r="C87" s="288"/>
      <c r="D87" s="288"/>
      <c r="E87" s="288"/>
      <c r="F87" s="288"/>
      <c r="G87" s="288"/>
      <c r="H87" s="288"/>
      <c r="I87" s="288"/>
      <c r="J87" s="288"/>
      <c r="K87" s="288"/>
      <c r="L87" s="288"/>
      <c r="M87" s="289"/>
      <c r="N87" s="64"/>
      <c r="O87" s="82" t="s">
        <v>54</v>
      </c>
      <c r="P87" s="82">
        <f>D77</f>
        <v>18</v>
      </c>
    </row>
    <row r="88" spans="2:17" ht="15" thickBot="1" x14ac:dyDescent="0.4">
      <c r="B88" s="287"/>
      <c r="C88" s="288"/>
      <c r="D88" s="288"/>
      <c r="E88" s="288"/>
      <c r="F88" s="288"/>
      <c r="G88" s="288"/>
      <c r="H88" s="288"/>
      <c r="I88" s="288"/>
      <c r="J88" s="288"/>
      <c r="K88" s="288"/>
      <c r="L88" s="288"/>
      <c r="M88" s="289"/>
      <c r="N88" s="64"/>
      <c r="O88" s="82" t="s">
        <v>55</v>
      </c>
      <c r="P88" s="82">
        <f>(P83*P82*(1/P86)/1000)*P77/1000000</f>
        <v>16.451551163076925</v>
      </c>
    </row>
    <row r="89" spans="2:17" ht="15" thickBot="1" x14ac:dyDescent="0.4">
      <c r="B89" s="104" t="s">
        <v>88</v>
      </c>
      <c r="C89" s="105">
        <f>C86*10*29.3</f>
        <v>12552.926497327933</v>
      </c>
      <c r="D89" s="106" t="s">
        <v>17</v>
      </c>
      <c r="E89" s="15"/>
      <c r="F89" s="15"/>
      <c r="G89" s="15"/>
      <c r="H89" s="15"/>
      <c r="I89" s="15"/>
      <c r="J89" s="15"/>
      <c r="K89" s="15"/>
      <c r="L89" s="15"/>
      <c r="M89" s="16"/>
      <c r="N89" s="65"/>
      <c r="O89" s="82"/>
      <c r="P89" s="82"/>
    </row>
    <row r="90" spans="2:17" ht="15" thickBot="1" x14ac:dyDescent="0.4">
      <c r="B90" s="102" t="s">
        <v>89</v>
      </c>
      <c r="C90" s="155">
        <f>C65*10*29.3</f>
        <v>-596.50384739109688</v>
      </c>
      <c r="D90" s="103" t="s">
        <v>17</v>
      </c>
      <c r="E90" s="57"/>
      <c r="F90" s="57"/>
      <c r="G90" s="57"/>
      <c r="H90" s="57"/>
      <c r="I90" s="17"/>
      <c r="J90" s="17"/>
      <c r="K90" s="17"/>
      <c r="L90" s="17"/>
      <c r="M90" s="18"/>
      <c r="O90" s="82" t="s">
        <v>56</v>
      </c>
      <c r="P90" s="83">
        <f>(P83*P82*(1/P87)/1000)*P77/1000000</f>
        <v>11.88167584</v>
      </c>
    </row>
    <row r="91" spans="2:17" x14ac:dyDescent="0.35">
      <c r="C91" s="101"/>
    </row>
    <row r="94" spans="2:17" x14ac:dyDescent="0.35">
      <c r="E94" s="15"/>
    </row>
  </sheetData>
  <mergeCells count="48">
    <mergeCell ref="B1:I1"/>
    <mergeCell ref="C25:L26"/>
    <mergeCell ref="B46:B47"/>
    <mergeCell ref="B25:B26"/>
    <mergeCell ref="B67:B68"/>
    <mergeCell ref="B58:B59"/>
    <mergeCell ref="H16:H17"/>
    <mergeCell ref="I16:J17"/>
    <mergeCell ref="K16:K17"/>
    <mergeCell ref="L16:M17"/>
    <mergeCell ref="D3:E3"/>
    <mergeCell ref="F3:G3"/>
    <mergeCell ref="B87:B88"/>
    <mergeCell ref="C87:M88"/>
    <mergeCell ref="L79:M80"/>
    <mergeCell ref="O9:P9"/>
    <mergeCell ref="S8:U8"/>
    <mergeCell ref="O30:P30"/>
    <mergeCell ref="O51:P51"/>
    <mergeCell ref="O72:P72"/>
    <mergeCell ref="K58:K59"/>
    <mergeCell ref="L58:M59"/>
    <mergeCell ref="C67:M68"/>
    <mergeCell ref="B79:B80"/>
    <mergeCell ref="C79:D80"/>
    <mergeCell ref="E79:E80"/>
    <mergeCell ref="F79:G80"/>
    <mergeCell ref="H79:H80"/>
    <mergeCell ref="K79:K80"/>
    <mergeCell ref="I37:J38"/>
    <mergeCell ref="K37:K38"/>
    <mergeCell ref="L37:M38"/>
    <mergeCell ref="C46:M47"/>
    <mergeCell ref="I58:J59"/>
    <mergeCell ref="C58:D59"/>
    <mergeCell ref="E58:E59"/>
    <mergeCell ref="F58:G59"/>
    <mergeCell ref="H58:H59"/>
    <mergeCell ref="B16:B17"/>
    <mergeCell ref="C16:D17"/>
    <mergeCell ref="E16:E17"/>
    <mergeCell ref="F16:G17"/>
    <mergeCell ref="I79:J80"/>
    <mergeCell ref="B37:B38"/>
    <mergeCell ref="C37:D38"/>
    <mergeCell ref="E37:E38"/>
    <mergeCell ref="F37:G38"/>
    <mergeCell ref="H37:H38"/>
  </mergeCells>
  <dataValidations count="2">
    <dataValidation type="list" allowBlank="1" showInputMessage="1" showErrorMessage="1" sqref="C12" xr:uid="{00000000-0002-0000-0200-000000000000}">
      <formula1>$S$10:$S$14</formula1>
    </dataValidation>
    <dataValidation type="list" allowBlank="1" showInputMessage="1" showErrorMessage="1" sqref="D13" xr:uid="{00000000-0002-0000-0200-000001000000}">
      <formula1>$Y$2:$Y$6</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67"/>
  <sheetViews>
    <sheetView showGridLines="0" tabSelected="1" topLeftCell="A19" zoomScaleNormal="100" workbookViewId="0">
      <pane xSplit="1" ySplit="19" topLeftCell="B38" activePane="bottomRight" state="frozen"/>
      <selection activeCell="A19" sqref="A19"/>
      <selection pane="topRight" activeCell="B19" sqref="B19"/>
      <selection pane="bottomLeft" activeCell="A38" sqref="A38"/>
      <selection pane="bottomRight" activeCell="D25" sqref="D25"/>
    </sheetView>
    <sheetView tabSelected="1" topLeftCell="A19" workbookViewId="1"/>
  </sheetViews>
  <sheetFormatPr defaultRowHeight="14.5" x14ac:dyDescent="0.35"/>
  <cols>
    <col min="1" max="1" width="1.453125" customWidth="1"/>
    <col min="2" max="2" width="29.90625" style="32" customWidth="1"/>
    <col min="3" max="3" width="17.26953125" style="3" customWidth="1"/>
    <col min="4" max="4" width="14.36328125" customWidth="1"/>
    <col min="5" max="5" width="7.26953125" customWidth="1"/>
    <col min="6" max="6" width="20.08984375" customWidth="1"/>
    <col min="7" max="7" width="9.7265625" customWidth="1"/>
    <col min="8" max="8" width="10" customWidth="1"/>
    <col min="9" max="9" width="9.26953125" customWidth="1"/>
    <col min="10" max="10" width="10.6328125" customWidth="1"/>
    <col min="11" max="11" width="9.90625" customWidth="1"/>
    <col min="15" max="15" width="11" customWidth="1"/>
    <col min="19" max="19" width="11.6328125" customWidth="1"/>
    <col min="20" max="20" width="9" hidden="1" customWidth="1"/>
    <col min="21" max="21" width="14.08984375" hidden="1" customWidth="1"/>
    <col min="22" max="22" width="49.6328125" hidden="1" customWidth="1"/>
    <col min="23" max="23" width="10.36328125" hidden="1" customWidth="1"/>
    <col min="24" max="24" width="2.90625" hidden="1" customWidth="1"/>
    <col min="25" max="25" width="17.453125" hidden="1" customWidth="1"/>
    <col min="26" max="26" width="47" hidden="1" customWidth="1"/>
    <col min="27" max="27" width="16.08984375" hidden="1" customWidth="1"/>
    <col min="28" max="28" width="16.26953125" hidden="1" customWidth="1"/>
    <col min="29" max="29" width="9" hidden="1" customWidth="1"/>
    <col min="30" max="30" width="14" hidden="1" customWidth="1"/>
    <col min="31" max="31" width="18.7265625" hidden="1" customWidth="1"/>
    <col min="32" max="32" width="9" hidden="1" customWidth="1"/>
  </cols>
  <sheetData>
    <row r="1" spans="2:27" ht="18.5" hidden="1" x14ac:dyDescent="0.45">
      <c r="B1" s="76" t="s">
        <v>40</v>
      </c>
      <c r="C1" s="50"/>
      <c r="D1" s="51"/>
      <c r="E1" s="51"/>
      <c r="F1" s="51"/>
      <c r="G1" s="51"/>
      <c r="H1" s="51"/>
      <c r="I1" s="51"/>
      <c r="J1" s="51"/>
      <c r="K1" s="51"/>
      <c r="L1" s="51"/>
      <c r="M1" s="52"/>
      <c r="N1" s="51"/>
      <c r="O1" s="51"/>
      <c r="P1" s="51"/>
      <c r="Q1" s="51"/>
      <c r="R1" s="51"/>
      <c r="S1" s="51"/>
      <c r="T1" s="51"/>
      <c r="U1" s="62"/>
      <c r="V1" s="62"/>
      <c r="W1" s="63"/>
      <c r="Y1" s="264" t="s">
        <v>62</v>
      </c>
      <c r="Z1" s="264"/>
      <c r="AA1" s="264"/>
    </row>
    <row r="2" spans="2:27" ht="29.9" hidden="1" customHeight="1" thickBot="1" x14ac:dyDescent="0.4">
      <c r="B2" s="66"/>
      <c r="C2" s="45"/>
      <c r="D2" s="15"/>
      <c r="E2" s="15"/>
      <c r="F2" s="15"/>
      <c r="G2" s="15"/>
      <c r="H2" s="15"/>
      <c r="I2" s="15"/>
      <c r="J2" s="15"/>
      <c r="K2" s="15"/>
      <c r="L2" s="15"/>
      <c r="M2" s="16"/>
      <c r="N2" s="15"/>
      <c r="O2" s="15"/>
      <c r="P2" s="15"/>
      <c r="Q2" s="15"/>
      <c r="R2" s="15"/>
      <c r="S2" s="15"/>
      <c r="T2" s="15"/>
      <c r="U2" s="64"/>
      <c r="V2" s="265" t="s">
        <v>58</v>
      </c>
      <c r="W2" s="266"/>
      <c r="Y2" s="72" t="s">
        <v>61</v>
      </c>
      <c r="Z2" s="72" t="s">
        <v>63</v>
      </c>
      <c r="AA2" s="72" t="s">
        <v>64</v>
      </c>
    </row>
    <row r="3" spans="2:27" hidden="1" x14ac:dyDescent="0.35">
      <c r="B3" s="66" t="s">
        <v>23</v>
      </c>
      <c r="C3" s="45" t="s">
        <v>28</v>
      </c>
      <c r="D3" s="92">
        <v>0.8</v>
      </c>
      <c r="E3" s="15" t="s">
        <v>29</v>
      </c>
      <c r="F3" s="15"/>
      <c r="G3" s="15"/>
      <c r="H3" s="15"/>
      <c r="I3" s="15"/>
      <c r="J3" s="15"/>
      <c r="K3" s="15"/>
      <c r="L3" s="15"/>
      <c r="M3" s="16"/>
      <c r="N3" s="15"/>
      <c r="O3" s="15"/>
      <c r="P3" s="15"/>
      <c r="Q3" s="15"/>
      <c r="R3" s="15"/>
      <c r="S3" s="15"/>
      <c r="T3" s="15"/>
      <c r="U3" s="64"/>
      <c r="V3" s="82" t="s">
        <v>46</v>
      </c>
      <c r="W3" s="82">
        <f>VLOOKUP(C5, Y3:AA7,3, )</f>
        <v>1840</v>
      </c>
      <c r="X3" s="1"/>
      <c r="Y3" s="70" t="s">
        <v>71</v>
      </c>
      <c r="Z3" s="71">
        <v>1022</v>
      </c>
      <c r="AA3" s="71">
        <v>1969</v>
      </c>
    </row>
    <row r="4" spans="2:27" hidden="1" x14ac:dyDescent="0.35">
      <c r="B4" s="66" t="s">
        <v>24</v>
      </c>
      <c r="C4" s="45" t="s">
        <v>21</v>
      </c>
      <c r="D4" s="91"/>
      <c r="E4" s="15" t="s">
        <v>38</v>
      </c>
      <c r="F4" s="15"/>
      <c r="G4" s="15"/>
      <c r="H4" s="15"/>
      <c r="I4" s="15"/>
      <c r="J4" s="15"/>
      <c r="K4" s="15"/>
      <c r="L4" s="15"/>
      <c r="M4" s="16"/>
      <c r="N4" s="15"/>
      <c r="O4" s="15"/>
      <c r="P4" s="15"/>
      <c r="Q4" s="15"/>
      <c r="R4" s="15"/>
      <c r="S4" s="15"/>
      <c r="T4" s="15"/>
      <c r="U4" s="64"/>
      <c r="V4" s="82" t="s">
        <v>45</v>
      </c>
      <c r="W4" s="82">
        <v>33000</v>
      </c>
      <c r="Y4" s="58" t="s">
        <v>72</v>
      </c>
      <c r="Z4" s="69">
        <v>976</v>
      </c>
      <c r="AA4" s="69">
        <v>1840</v>
      </c>
    </row>
    <row r="5" spans="2:27" hidden="1" x14ac:dyDescent="0.35">
      <c r="B5" s="66" t="s">
        <v>57</v>
      </c>
      <c r="C5" s="59" t="s">
        <v>72</v>
      </c>
      <c r="D5" s="45"/>
      <c r="E5" s="15"/>
      <c r="F5" s="15"/>
      <c r="G5" s="15"/>
      <c r="H5" s="15"/>
      <c r="I5" s="15"/>
      <c r="J5" s="15"/>
      <c r="K5" s="15"/>
      <c r="L5" s="15"/>
      <c r="M5" s="16"/>
      <c r="N5" s="15"/>
      <c r="O5" s="15"/>
      <c r="P5" s="15"/>
      <c r="Q5" s="15"/>
      <c r="R5" s="15"/>
      <c r="S5" s="15"/>
      <c r="T5" s="15"/>
      <c r="U5" s="64"/>
      <c r="V5" s="82" t="s">
        <v>47</v>
      </c>
      <c r="W5" s="82">
        <f>D6</f>
        <v>13.3</v>
      </c>
      <c r="Y5" s="58" t="s">
        <v>70</v>
      </c>
      <c r="Z5" s="69">
        <v>836</v>
      </c>
      <c r="AA5" s="69">
        <v>1754</v>
      </c>
    </row>
    <row r="6" spans="2:27" hidden="1" x14ac:dyDescent="0.35">
      <c r="B6" s="66" t="s">
        <v>25</v>
      </c>
      <c r="C6" s="15" t="s">
        <v>27</v>
      </c>
      <c r="D6" s="86">
        <v>13.3</v>
      </c>
      <c r="E6" s="15" t="s">
        <v>50</v>
      </c>
      <c r="F6" s="15"/>
      <c r="G6" s="15"/>
      <c r="H6" s="15"/>
      <c r="I6" s="15"/>
      <c r="J6" s="15"/>
      <c r="K6" s="15"/>
      <c r="L6" s="15"/>
      <c r="M6" s="16"/>
      <c r="N6" s="15"/>
      <c r="O6" s="15"/>
      <c r="P6" s="15"/>
      <c r="Q6" s="15"/>
      <c r="R6" s="15"/>
      <c r="S6" s="15"/>
      <c r="T6" s="15"/>
      <c r="U6" s="64"/>
      <c r="V6" s="82" t="s">
        <v>48</v>
      </c>
      <c r="W6" s="82">
        <v>1</v>
      </c>
      <c r="Y6" s="58" t="s">
        <v>69</v>
      </c>
      <c r="Z6" s="69">
        <v>645</v>
      </c>
      <c r="AA6" s="69">
        <v>1266</v>
      </c>
    </row>
    <row r="7" spans="2:27" hidden="1" x14ac:dyDescent="0.35">
      <c r="B7" s="66" t="s">
        <v>26</v>
      </c>
      <c r="C7" s="15" t="s">
        <v>27</v>
      </c>
      <c r="D7" s="86">
        <v>20.5</v>
      </c>
      <c r="E7" s="15" t="s">
        <v>38</v>
      </c>
      <c r="F7" s="15"/>
      <c r="G7" s="15"/>
      <c r="H7" s="15"/>
      <c r="I7" s="15"/>
      <c r="J7" s="15"/>
      <c r="K7" s="15"/>
      <c r="L7" s="15"/>
      <c r="M7" s="16"/>
      <c r="N7" s="15"/>
      <c r="O7" s="15"/>
      <c r="P7" s="15"/>
      <c r="Q7" s="15"/>
      <c r="R7" s="15"/>
      <c r="S7" s="15"/>
      <c r="T7" s="15"/>
      <c r="U7" s="64"/>
      <c r="V7" s="82" t="s">
        <v>60</v>
      </c>
      <c r="W7" s="82">
        <v>10000</v>
      </c>
      <c r="Y7" s="58" t="s">
        <v>68</v>
      </c>
      <c r="Z7" s="69">
        <v>656</v>
      </c>
      <c r="AA7" s="69">
        <v>1288</v>
      </c>
    </row>
    <row r="8" spans="2:27" hidden="1" x14ac:dyDescent="0.35">
      <c r="B8" s="66"/>
      <c r="C8" s="45"/>
      <c r="D8" s="15"/>
      <c r="E8" s="15"/>
      <c r="F8" s="15"/>
      <c r="G8" s="15"/>
      <c r="H8" s="15"/>
      <c r="I8" s="15"/>
      <c r="J8" s="15"/>
      <c r="K8" s="15"/>
      <c r="L8" s="15"/>
      <c r="M8" s="16"/>
      <c r="N8" s="15"/>
      <c r="O8" s="15"/>
      <c r="P8" s="15"/>
      <c r="Q8" s="15"/>
      <c r="R8" s="15"/>
      <c r="S8" s="15"/>
      <c r="T8" s="15"/>
      <c r="U8" s="64"/>
      <c r="V8" s="82" t="s">
        <v>49</v>
      </c>
      <c r="W8" s="83">
        <f>((W3*W4*(1/(W5*W6*(1-0))))/1000)*W7/1000000</f>
        <v>45.654135338345853</v>
      </c>
    </row>
    <row r="9" spans="2:27" ht="14.25" hidden="1" customHeight="1" thickBot="1" x14ac:dyDescent="0.4">
      <c r="B9" s="275" t="s">
        <v>30</v>
      </c>
      <c r="C9" s="276" t="s">
        <v>31</v>
      </c>
      <c r="D9" s="276"/>
      <c r="E9" s="277" t="s">
        <v>32</v>
      </c>
      <c r="F9" s="269" t="s">
        <v>33</v>
      </c>
      <c r="G9" s="269"/>
      <c r="H9" s="277" t="s">
        <v>12</v>
      </c>
      <c r="I9" s="267" t="s">
        <v>34</v>
      </c>
      <c r="J9" s="267"/>
      <c r="K9" s="268" t="s">
        <v>12</v>
      </c>
      <c r="L9" s="269" t="s">
        <v>35</v>
      </c>
      <c r="M9" s="270"/>
      <c r="N9" s="143"/>
      <c r="O9" s="143"/>
      <c r="P9" s="143"/>
      <c r="Q9" s="143"/>
      <c r="R9" s="143"/>
      <c r="S9" s="143"/>
      <c r="T9" s="143"/>
      <c r="U9" s="64"/>
      <c r="V9" s="82" t="s">
        <v>73</v>
      </c>
      <c r="W9" s="82">
        <f>VLOOKUP(C5,Y3:AA7,2)</f>
        <v>976</v>
      </c>
      <c r="Y9" s="72" t="s">
        <v>65</v>
      </c>
      <c r="Z9" s="72" t="s">
        <v>66</v>
      </c>
    </row>
    <row r="10" spans="2:27" ht="14.25" hidden="1" customHeight="1" x14ac:dyDescent="0.35">
      <c r="B10" s="275"/>
      <c r="C10" s="276"/>
      <c r="D10" s="276"/>
      <c r="E10" s="277"/>
      <c r="F10" s="269"/>
      <c r="G10" s="269"/>
      <c r="H10" s="277"/>
      <c r="I10" s="267"/>
      <c r="J10" s="267"/>
      <c r="K10" s="268"/>
      <c r="L10" s="269"/>
      <c r="M10" s="270"/>
      <c r="N10" s="143"/>
      <c r="O10" s="143"/>
      <c r="P10" s="143"/>
      <c r="Q10" s="143"/>
      <c r="R10" s="143"/>
      <c r="S10" s="143"/>
      <c r="T10" s="143"/>
      <c r="U10" s="64"/>
      <c r="V10" s="82" t="s">
        <v>29</v>
      </c>
      <c r="W10" s="84">
        <f>D3</f>
        <v>0.8</v>
      </c>
      <c r="X10" s="1"/>
      <c r="Y10" s="70" t="s">
        <v>71</v>
      </c>
      <c r="Z10" s="71">
        <v>512</v>
      </c>
    </row>
    <row r="11" spans="2:27" hidden="1" x14ac:dyDescent="0.35">
      <c r="B11" s="66"/>
      <c r="C11" s="45"/>
      <c r="D11" s="15"/>
      <c r="E11" s="15"/>
      <c r="F11" s="15"/>
      <c r="G11" s="15"/>
      <c r="H11" s="15"/>
      <c r="I11" s="15"/>
      <c r="J11" s="15"/>
      <c r="K11" s="15"/>
      <c r="L11" s="15"/>
      <c r="M11" s="16"/>
      <c r="N11" s="15"/>
      <c r="O11" s="15"/>
      <c r="P11" s="15"/>
      <c r="Q11" s="15"/>
      <c r="R11" s="15"/>
      <c r="S11" s="15"/>
      <c r="T11" s="15"/>
      <c r="U11" s="64"/>
      <c r="V11" s="82" t="s">
        <v>51</v>
      </c>
      <c r="W11" s="82">
        <f>((W9*W4*1/W10)/1000000)</f>
        <v>40.26</v>
      </c>
      <c r="Y11" s="58" t="s">
        <v>72</v>
      </c>
      <c r="Z11" s="69">
        <v>570</v>
      </c>
    </row>
    <row r="12" spans="2:27" hidden="1" x14ac:dyDescent="0.35">
      <c r="B12" s="66" t="s">
        <v>30</v>
      </c>
      <c r="C12" s="78">
        <f>W11</f>
        <v>40.26</v>
      </c>
      <c r="D12" s="47" t="s">
        <v>36</v>
      </c>
      <c r="E12" s="45" t="s">
        <v>32</v>
      </c>
      <c r="F12" s="48">
        <f>W16</f>
        <v>0</v>
      </c>
      <c r="G12" s="48" t="s">
        <v>36</v>
      </c>
      <c r="H12" s="45" t="s">
        <v>12</v>
      </c>
      <c r="I12" s="80">
        <f>W8</f>
        <v>45.654135338345853</v>
      </c>
      <c r="J12" s="48" t="s">
        <v>36</v>
      </c>
      <c r="K12" s="45" t="s">
        <v>12</v>
      </c>
      <c r="L12" s="80">
        <f>W17</f>
        <v>9.6760975609756095</v>
      </c>
      <c r="M12" s="49" t="s">
        <v>36</v>
      </c>
      <c r="N12" s="48"/>
      <c r="O12" s="48"/>
      <c r="P12" s="48"/>
      <c r="Q12" s="48"/>
      <c r="R12" s="48"/>
      <c r="S12" s="48"/>
      <c r="T12" s="48"/>
      <c r="U12" s="64"/>
      <c r="V12" s="82" t="s">
        <v>52</v>
      </c>
      <c r="W12" s="82">
        <v>34800</v>
      </c>
      <c r="Y12" s="58" t="s">
        <v>70</v>
      </c>
      <c r="Z12" s="69">
        <v>730</v>
      </c>
    </row>
    <row r="13" spans="2:27" hidden="1" x14ac:dyDescent="0.35">
      <c r="B13" s="66"/>
      <c r="C13" s="45"/>
      <c r="D13" s="15"/>
      <c r="E13" s="15"/>
      <c r="F13" s="15"/>
      <c r="G13" s="15"/>
      <c r="H13" s="15"/>
      <c r="I13" s="15"/>
      <c r="J13" s="15"/>
      <c r="K13" s="15"/>
      <c r="L13" s="15"/>
      <c r="M13" s="16"/>
      <c r="N13" s="15"/>
      <c r="O13" s="15"/>
      <c r="P13" s="15"/>
      <c r="Q13" s="15"/>
      <c r="R13" s="15"/>
      <c r="S13" s="15"/>
      <c r="T13" s="15"/>
      <c r="U13" s="64"/>
      <c r="V13" s="82" t="s">
        <v>74</v>
      </c>
      <c r="W13" s="85">
        <f>VLOOKUP(C5,Y10:Z14,2)</f>
        <v>570</v>
      </c>
      <c r="Y13" s="58" t="s">
        <v>69</v>
      </c>
      <c r="Z13" s="69">
        <v>1035</v>
      </c>
    </row>
    <row r="14" spans="2:27" ht="15" hidden="1" thickBot="1" x14ac:dyDescent="0.4">
      <c r="B14" s="77" t="s">
        <v>30</v>
      </c>
      <c r="C14" s="81">
        <f>C12+F12-I12-L12</f>
        <v>-15.070232899321464</v>
      </c>
      <c r="D14" s="54" t="s">
        <v>36</v>
      </c>
      <c r="E14" s="15"/>
      <c r="F14" s="15"/>
      <c r="G14" s="15"/>
      <c r="H14" s="15"/>
      <c r="I14" s="15"/>
      <c r="J14" s="15"/>
      <c r="K14" s="15"/>
      <c r="L14" s="15"/>
      <c r="M14" s="16"/>
      <c r="N14" s="15"/>
      <c r="O14" s="15"/>
      <c r="P14" s="15"/>
      <c r="Q14" s="15"/>
      <c r="R14" s="15"/>
      <c r="S14" s="15"/>
      <c r="T14" s="15"/>
      <c r="U14" s="64"/>
      <c r="V14" s="82" t="s">
        <v>53</v>
      </c>
      <c r="W14" s="82">
        <f>D4</f>
        <v>0</v>
      </c>
      <c r="Y14" s="58" t="s">
        <v>68</v>
      </c>
      <c r="Z14" s="69">
        <v>903</v>
      </c>
    </row>
    <row r="15" spans="2:27" hidden="1" x14ac:dyDescent="0.35">
      <c r="B15" s="66"/>
      <c r="C15" s="45"/>
      <c r="D15" s="15"/>
      <c r="E15" s="15"/>
      <c r="F15" s="15"/>
      <c r="G15" s="15"/>
      <c r="H15" s="15"/>
      <c r="I15" s="15"/>
      <c r="J15" s="15"/>
      <c r="K15" s="15"/>
      <c r="L15" s="15"/>
      <c r="M15" s="16"/>
      <c r="N15" s="15"/>
      <c r="O15" s="15"/>
      <c r="P15" s="15"/>
      <c r="Q15" s="15"/>
      <c r="R15" s="15"/>
      <c r="S15" s="15"/>
      <c r="T15" s="15"/>
      <c r="U15" s="64"/>
      <c r="V15" s="82" t="s">
        <v>54</v>
      </c>
      <c r="W15" s="82">
        <f>D7</f>
        <v>20.5</v>
      </c>
    </row>
    <row r="16" spans="2:27" ht="14.25" hidden="1" customHeight="1" x14ac:dyDescent="0.35">
      <c r="B16" s="67" t="s">
        <v>37</v>
      </c>
      <c r="C16" s="273" t="s">
        <v>41</v>
      </c>
      <c r="D16" s="273"/>
      <c r="E16" s="273"/>
      <c r="F16" s="273"/>
      <c r="G16" s="273"/>
      <c r="H16" s="273"/>
      <c r="I16" s="273"/>
      <c r="J16" s="273"/>
      <c r="K16" s="273"/>
      <c r="L16" s="273"/>
      <c r="M16" s="291"/>
      <c r="N16" s="144"/>
      <c r="O16" s="144"/>
      <c r="P16" s="144"/>
      <c r="Q16" s="144"/>
      <c r="R16" s="144"/>
      <c r="S16" s="144"/>
      <c r="T16" s="144"/>
      <c r="U16" s="64"/>
      <c r="V16" s="82" t="s">
        <v>55</v>
      </c>
      <c r="W16" s="82">
        <f>IF(W14=0,0, (W13*W12*(1/W14)/1000)*W7/1000000)</f>
        <v>0</v>
      </c>
    </row>
    <row r="17" spans="2:32" hidden="1" x14ac:dyDescent="0.35">
      <c r="B17" s="68"/>
      <c r="C17" s="274"/>
      <c r="D17" s="274"/>
      <c r="E17" s="274"/>
      <c r="F17" s="274"/>
      <c r="G17" s="274"/>
      <c r="H17" s="274"/>
      <c r="I17" s="274"/>
      <c r="J17" s="274"/>
      <c r="K17" s="274"/>
      <c r="L17" s="274"/>
      <c r="M17" s="292"/>
      <c r="N17" s="145"/>
      <c r="O17" s="145"/>
      <c r="P17" s="145"/>
      <c r="Q17" s="145"/>
      <c r="R17" s="145"/>
      <c r="S17" s="145"/>
      <c r="T17" s="145"/>
      <c r="U17" s="65"/>
      <c r="V17" s="82" t="s">
        <v>56</v>
      </c>
      <c r="W17" s="83">
        <f>(W13*W12*(1/W15)/1000)*W7/1000000</f>
        <v>9.6760975609756095</v>
      </c>
    </row>
    <row r="18" spans="2:32" hidden="1" x14ac:dyDescent="0.35"/>
    <row r="19" spans="2:32" ht="7.5" customHeight="1" x14ac:dyDescent="0.35"/>
    <row r="20" spans="2:32" ht="18.5" x14ac:dyDescent="0.45">
      <c r="B20" s="76" t="s">
        <v>125</v>
      </c>
      <c r="C20" s="50"/>
      <c r="D20" s="51"/>
      <c r="E20" s="51"/>
      <c r="F20" s="51"/>
      <c r="G20" s="51"/>
      <c r="H20" s="51"/>
      <c r="I20" s="51"/>
      <c r="J20" s="51"/>
      <c r="K20" s="51"/>
      <c r="L20" s="51"/>
      <c r="M20" s="51"/>
      <c r="N20" s="51"/>
      <c r="O20" s="51"/>
      <c r="P20" s="51"/>
      <c r="Q20" s="51"/>
      <c r="R20" s="52"/>
      <c r="S20" s="228"/>
      <c r="T20" s="51"/>
      <c r="U20" s="62"/>
      <c r="V20" s="62"/>
      <c r="W20" s="63"/>
    </row>
    <row r="21" spans="2:32" ht="8.15" customHeight="1" thickBot="1" x14ac:dyDescent="0.4">
      <c r="B21" s="66"/>
      <c r="C21" s="45"/>
      <c r="D21" s="15"/>
      <c r="E21" s="15"/>
      <c r="F21" s="15"/>
      <c r="G21" s="15"/>
      <c r="H21" s="15"/>
      <c r="I21" s="15"/>
      <c r="J21" s="15"/>
      <c r="K21" s="15"/>
      <c r="L21" s="15"/>
      <c r="M21" s="15"/>
      <c r="N21" s="15"/>
      <c r="O21" s="15"/>
      <c r="P21" s="15"/>
      <c r="Q21" s="15"/>
      <c r="R21" s="16"/>
      <c r="S21" s="15"/>
      <c r="T21" s="15"/>
      <c r="U21" s="64"/>
      <c r="V21" s="265" t="s">
        <v>58</v>
      </c>
      <c r="W21" s="266"/>
    </row>
    <row r="22" spans="2:32" ht="13.65" customHeight="1" thickBot="1" x14ac:dyDescent="0.4">
      <c r="B22" s="66" t="s">
        <v>23</v>
      </c>
      <c r="C22" s="45" t="s">
        <v>28</v>
      </c>
      <c r="D22" s="107">
        <v>0.8</v>
      </c>
      <c r="E22" s="15" t="s">
        <v>29</v>
      </c>
      <c r="F22" s="45" t="s">
        <v>43</v>
      </c>
      <c r="G22" s="260" t="s">
        <v>42</v>
      </c>
      <c r="H22" s="261"/>
      <c r="I22" s="262" t="s">
        <v>44</v>
      </c>
      <c r="J22" s="263"/>
      <c r="K22" s="60" t="s">
        <v>67</v>
      </c>
      <c r="L22" s="4" t="s">
        <v>6</v>
      </c>
      <c r="M22" s="163">
        <v>3412</v>
      </c>
      <c r="N22" s="6" t="s">
        <v>7</v>
      </c>
      <c r="O22" s="15"/>
      <c r="P22" s="15"/>
      <c r="Q22" s="15"/>
      <c r="R22" s="16"/>
      <c r="S22" s="15"/>
      <c r="T22" s="15"/>
      <c r="U22" s="64"/>
      <c r="V22" s="82" t="s">
        <v>46</v>
      </c>
      <c r="W22" s="82">
        <f>VLOOKUP(C24,'Screening Criteria-95AFUE'!S10:U14,3)</f>
        <v>1288</v>
      </c>
      <c r="Y22" s="293"/>
      <c r="Z22" s="293"/>
      <c r="AA22" s="142" t="s">
        <v>103</v>
      </c>
      <c r="AB22" s="142" t="s">
        <v>104</v>
      </c>
      <c r="AC22" s="294" t="s">
        <v>110</v>
      </c>
      <c r="AD22" s="294"/>
      <c r="AE22" s="142" t="s">
        <v>109</v>
      </c>
      <c r="AF22" s="119"/>
    </row>
    <row r="23" spans="2:32" ht="13.65" customHeight="1" x14ac:dyDescent="0.35">
      <c r="B23" s="66" t="s">
        <v>24</v>
      </c>
      <c r="C23" s="45" t="s">
        <v>22</v>
      </c>
      <c r="D23" s="97">
        <v>13</v>
      </c>
      <c r="E23" s="15" t="s">
        <v>38</v>
      </c>
      <c r="F23" s="15"/>
      <c r="G23" s="15"/>
      <c r="H23" s="15"/>
      <c r="I23" s="15"/>
      <c r="J23" s="15"/>
      <c r="K23" s="15"/>
      <c r="L23" s="37" t="s">
        <v>143</v>
      </c>
      <c r="M23" s="165">
        <v>29.3</v>
      </c>
      <c r="N23" s="38" t="s">
        <v>17</v>
      </c>
      <c r="O23" s="15"/>
      <c r="P23" s="15"/>
      <c r="Q23" s="15"/>
      <c r="R23" s="16"/>
      <c r="S23" s="15"/>
      <c r="T23" s="15"/>
      <c r="U23" s="64"/>
      <c r="V23" s="82" t="s">
        <v>45</v>
      </c>
      <c r="W23" s="82">
        <v>33000</v>
      </c>
      <c r="Y23" s="122" t="s">
        <v>100</v>
      </c>
      <c r="Z23" s="124" t="s">
        <v>102</v>
      </c>
      <c r="AA23" s="121" t="s">
        <v>105</v>
      </c>
      <c r="AB23" s="121" t="s">
        <v>108</v>
      </c>
      <c r="AC23" s="290" t="e">
        <f>#REF!*C32</f>
        <v>#REF!</v>
      </c>
      <c r="AD23" s="290"/>
      <c r="AE23" s="120" t="e">
        <f>#REF!*F32</f>
        <v>#REF!</v>
      </c>
    </row>
    <row r="24" spans="2:32" ht="15" customHeight="1" x14ac:dyDescent="0.35">
      <c r="B24" s="66" t="s">
        <v>57</v>
      </c>
      <c r="C24" s="61" t="s">
        <v>68</v>
      </c>
      <c r="D24" s="89"/>
      <c r="E24" s="15"/>
      <c r="F24" s="15"/>
      <c r="G24" s="178" t="s">
        <v>115</v>
      </c>
      <c r="H24" s="183">
        <f>IF(OR(C24=AA33,C24=AA34),Background!D9,Background!D10)</f>
        <v>10474.84</v>
      </c>
      <c r="I24" s="15" t="s">
        <v>8</v>
      </c>
      <c r="J24" s="15"/>
      <c r="K24" s="15"/>
      <c r="L24" s="37" t="s">
        <v>138</v>
      </c>
      <c r="M24" s="164">
        <v>293</v>
      </c>
      <c r="N24" s="38" t="s">
        <v>17</v>
      </c>
      <c r="O24" s="15"/>
      <c r="P24" s="15"/>
      <c r="Q24" s="15"/>
      <c r="R24" s="16"/>
      <c r="S24" s="15"/>
      <c r="T24" s="15"/>
      <c r="U24" s="64"/>
      <c r="V24" s="82" t="s">
        <v>47</v>
      </c>
      <c r="W24" s="82">
        <f>D25</f>
        <v>9</v>
      </c>
      <c r="Y24" s="122" t="s">
        <v>101</v>
      </c>
      <c r="Z24" s="124" t="s">
        <v>114</v>
      </c>
      <c r="AA24" s="121" t="s">
        <v>106</v>
      </c>
      <c r="AB24" s="121" t="s">
        <v>107</v>
      </c>
      <c r="AC24" s="290" t="e">
        <f>#REF!*I32</f>
        <v>#REF!</v>
      </c>
      <c r="AD24" s="290"/>
      <c r="AE24" s="120" t="e">
        <f>#REF!*L32</f>
        <v>#REF!</v>
      </c>
    </row>
    <row r="25" spans="2:32" ht="13.65" customHeight="1" thickBot="1" x14ac:dyDescent="0.4">
      <c r="B25" s="66" t="s">
        <v>25</v>
      </c>
      <c r="C25" s="15" t="s">
        <v>27</v>
      </c>
      <c r="D25" s="97">
        <v>9</v>
      </c>
      <c r="E25" s="15" t="s">
        <v>50</v>
      </c>
      <c r="F25" s="15"/>
      <c r="G25" s="15"/>
      <c r="H25" s="15"/>
      <c r="I25" s="15"/>
      <c r="J25" s="15"/>
      <c r="K25" s="15"/>
      <c r="L25" s="8" t="s">
        <v>119</v>
      </c>
      <c r="M25" s="40">
        <v>10</v>
      </c>
      <c r="N25" s="9" t="s">
        <v>117</v>
      </c>
      <c r="O25" s="15"/>
      <c r="P25" s="15"/>
      <c r="Q25" s="15"/>
      <c r="R25" s="16"/>
      <c r="S25" s="15"/>
      <c r="T25" s="15"/>
      <c r="U25" s="64"/>
      <c r="V25" s="82" t="s">
        <v>48</v>
      </c>
      <c r="W25" s="82">
        <v>1.0109999999999999</v>
      </c>
      <c r="Y25" s="295" t="s">
        <v>120</v>
      </c>
      <c r="Z25" s="295"/>
      <c r="AA25" s="297" t="s">
        <v>111</v>
      </c>
      <c r="AB25" s="297"/>
      <c r="AC25" s="298" t="e">
        <f>AC23-AC24</f>
        <v>#REF!</v>
      </c>
      <c r="AD25" s="299"/>
      <c r="AE25" s="123"/>
    </row>
    <row r="26" spans="2:32" ht="15.65" customHeight="1" thickBot="1" x14ac:dyDescent="0.4">
      <c r="B26" s="66" t="s">
        <v>26</v>
      </c>
      <c r="C26" s="15" t="s">
        <v>27</v>
      </c>
      <c r="D26" s="97">
        <f>VLOOKUP(D25,N31:O35,2)</f>
        <v>16</v>
      </c>
      <c r="E26" s="11" t="s">
        <v>38</v>
      </c>
      <c r="F26" s="15"/>
      <c r="G26" s="15"/>
      <c r="H26" s="15"/>
      <c r="I26" s="15"/>
      <c r="J26" s="15"/>
      <c r="K26" s="15"/>
      <c r="L26" s="15"/>
      <c r="M26" s="15"/>
      <c r="N26" s="15"/>
      <c r="O26" s="15"/>
      <c r="P26" s="15"/>
      <c r="Q26" s="15"/>
      <c r="R26" s="16"/>
      <c r="S26" s="15"/>
      <c r="T26" s="15"/>
      <c r="U26" s="64"/>
      <c r="V26" s="82" t="s">
        <v>60</v>
      </c>
      <c r="W26" s="82">
        <f>H24</f>
        <v>10474.84</v>
      </c>
      <c r="Y26" s="295"/>
      <c r="Z26" s="295"/>
      <c r="AA26" s="294" t="s">
        <v>112</v>
      </c>
      <c r="AB26" s="294"/>
      <c r="AC26" s="300"/>
      <c r="AD26" s="301"/>
      <c r="AE26" s="125" t="e">
        <f>AE23-AE24</f>
        <v>#REF!</v>
      </c>
    </row>
    <row r="27" spans="2:32" ht="6.75" customHeight="1" thickBot="1" x14ac:dyDescent="0.4">
      <c r="B27" s="66"/>
      <c r="C27" s="45"/>
      <c r="D27" s="15"/>
      <c r="E27" s="15"/>
      <c r="F27" s="15"/>
      <c r="G27" s="15"/>
      <c r="H27" s="15"/>
      <c r="I27" s="15"/>
      <c r="J27" s="15"/>
      <c r="K27" s="15"/>
      <c r="L27" s="15"/>
      <c r="M27" s="15"/>
      <c r="N27" s="15"/>
      <c r="O27" s="15"/>
      <c r="P27" s="15"/>
      <c r="Q27" s="15"/>
      <c r="R27" s="16"/>
      <c r="S27" s="15"/>
      <c r="T27" s="15"/>
      <c r="U27" s="64"/>
      <c r="V27" s="82" t="s">
        <v>129</v>
      </c>
      <c r="W27" s="83">
        <f>((W22*W23*(1/(W24*W25*(1-0))))/1000)*W26/1000000</f>
        <v>48.930937395318182</v>
      </c>
      <c r="X27" t="s">
        <v>36</v>
      </c>
      <c r="Y27" s="295"/>
      <c r="Z27" s="296"/>
      <c r="AA27" s="302" t="s">
        <v>113</v>
      </c>
      <c r="AB27" s="303"/>
      <c r="AC27" s="304" t="e">
        <f>AC25+AE26</f>
        <v>#REF!</v>
      </c>
      <c r="AD27" s="305"/>
      <c r="AE27" s="21"/>
    </row>
    <row r="28" spans="2:32" x14ac:dyDescent="0.35">
      <c r="B28" s="275" t="s">
        <v>165</v>
      </c>
      <c r="C28" s="306" t="s">
        <v>31</v>
      </c>
      <c r="D28" s="307"/>
      <c r="E28" s="277" t="s">
        <v>32</v>
      </c>
      <c r="F28" s="310" t="s">
        <v>33</v>
      </c>
      <c r="G28" s="311"/>
      <c r="H28" s="277" t="s">
        <v>12</v>
      </c>
      <c r="I28" s="315" t="s">
        <v>34</v>
      </c>
      <c r="J28" s="316"/>
      <c r="K28" s="268" t="s">
        <v>12</v>
      </c>
      <c r="L28" s="310" t="s">
        <v>35</v>
      </c>
      <c r="M28" s="311"/>
      <c r="N28" s="200"/>
      <c r="O28" s="200"/>
      <c r="P28" s="200"/>
      <c r="Q28" s="200"/>
      <c r="R28" s="207"/>
      <c r="S28" s="200"/>
      <c r="T28" s="200"/>
      <c r="U28" s="64"/>
      <c r="V28" s="82" t="s">
        <v>144</v>
      </c>
      <c r="W28" s="83">
        <f>((W22*W23*(1/(W24*W25*(1-0))))/1000)</f>
        <v>4671.2825585229157</v>
      </c>
      <c r="X28" t="s">
        <v>17</v>
      </c>
      <c r="Y28" s="167"/>
    </row>
    <row r="29" spans="2:32" x14ac:dyDescent="0.35">
      <c r="B29" s="275"/>
      <c r="C29" s="308"/>
      <c r="D29" s="309"/>
      <c r="E29" s="277"/>
      <c r="F29" s="312"/>
      <c r="G29" s="313"/>
      <c r="H29" s="277"/>
      <c r="I29" s="317"/>
      <c r="J29" s="318"/>
      <c r="K29" s="268"/>
      <c r="L29" s="312"/>
      <c r="M29" s="313"/>
      <c r="N29" s="200"/>
      <c r="O29" s="200"/>
      <c r="P29" s="200"/>
      <c r="Q29" s="200"/>
      <c r="R29" s="207"/>
      <c r="S29" s="200"/>
      <c r="T29" s="200"/>
      <c r="U29" s="64"/>
      <c r="V29" s="150" t="s">
        <v>122</v>
      </c>
      <c r="W29" s="82">
        <f>W22*W23/1000000</f>
        <v>42.503999999999998</v>
      </c>
      <c r="X29" t="s">
        <v>124</v>
      </c>
    </row>
    <row r="30" spans="2:32" x14ac:dyDescent="0.35">
      <c r="B30" s="66"/>
      <c r="C30" s="314" t="s">
        <v>84</v>
      </c>
      <c r="D30" s="314"/>
      <c r="E30" s="45" t="s">
        <v>32</v>
      </c>
      <c r="F30" s="314" t="s">
        <v>85</v>
      </c>
      <c r="G30" s="314"/>
      <c r="H30" s="45" t="s">
        <v>12</v>
      </c>
      <c r="I30" s="314" t="s">
        <v>86</v>
      </c>
      <c r="J30" s="314"/>
      <c r="K30" s="89" t="s">
        <v>12</v>
      </c>
      <c r="L30" s="314" t="s">
        <v>87</v>
      </c>
      <c r="M30" s="314"/>
      <c r="N30" s="184" t="s">
        <v>50</v>
      </c>
      <c r="O30" s="184" t="s">
        <v>38</v>
      </c>
      <c r="P30" s="232" t="s">
        <v>182</v>
      </c>
      <c r="Q30" s="201"/>
      <c r="R30" s="208"/>
      <c r="S30" s="201"/>
      <c r="T30" s="201"/>
      <c r="U30" s="64"/>
      <c r="V30" s="82" t="s">
        <v>29</v>
      </c>
      <c r="W30" s="84">
        <f>D22</f>
        <v>0.8</v>
      </c>
    </row>
    <row r="31" spans="2:32" x14ac:dyDescent="0.35">
      <c r="B31" s="66" t="s">
        <v>92</v>
      </c>
      <c r="C31" s="214">
        <f>W31*1.01</f>
        <v>53.661299999999997</v>
      </c>
      <c r="D31" s="215" t="s">
        <v>36</v>
      </c>
      <c r="E31" s="45" t="s">
        <v>32</v>
      </c>
      <c r="F31" s="218">
        <f>W42</f>
        <v>28.133808726153845</v>
      </c>
      <c r="G31" s="215" t="s">
        <v>36</v>
      </c>
      <c r="H31" s="45" t="s">
        <v>12</v>
      </c>
      <c r="I31" s="220">
        <f>W27</f>
        <v>48.930937395318182</v>
      </c>
      <c r="J31" s="215" t="s">
        <v>36</v>
      </c>
      <c r="K31" s="45" t="s">
        <v>12</v>
      </c>
      <c r="L31" s="218">
        <f>AC44</f>
        <v>20.572847631000002</v>
      </c>
      <c r="M31" s="215" t="s">
        <v>36</v>
      </c>
      <c r="N31" s="15">
        <v>8.4</v>
      </c>
      <c r="O31" s="15">
        <v>14</v>
      </c>
      <c r="P31" s="15"/>
      <c r="Q31" s="173"/>
      <c r="R31" s="175"/>
      <c r="S31" s="173"/>
      <c r="T31" s="173"/>
      <c r="U31" s="64"/>
      <c r="V31" s="82" t="s">
        <v>141</v>
      </c>
      <c r="W31" s="82">
        <f>W29/W30</f>
        <v>53.129999999999995</v>
      </c>
      <c r="X31" t="s">
        <v>124</v>
      </c>
      <c r="AA31" s="264" t="s">
        <v>62</v>
      </c>
      <c r="AB31" s="264"/>
      <c r="AC31" s="264"/>
    </row>
    <row r="32" spans="2:32" ht="17" customHeight="1" thickBot="1" x14ac:dyDescent="0.4">
      <c r="B32" s="66" t="s">
        <v>93</v>
      </c>
      <c r="C32" s="216">
        <f>W31</f>
        <v>53.129999999999995</v>
      </c>
      <c r="D32" s="217" t="s">
        <v>36</v>
      </c>
      <c r="E32" s="45" t="s">
        <v>32</v>
      </c>
      <c r="F32" s="219">
        <f>W42/(W26/3412)</f>
        <v>9.1641070769230772</v>
      </c>
      <c r="G32" s="217" t="s">
        <v>36</v>
      </c>
      <c r="H32" s="89" t="s">
        <v>12</v>
      </c>
      <c r="I32" s="221">
        <f>W27/(W26/3412)</f>
        <v>15.938416089680191</v>
      </c>
      <c r="J32" s="217" t="s">
        <v>36</v>
      </c>
      <c r="K32" s="15"/>
      <c r="L32" s="222">
        <f>AC44/(W26/3412)</f>
        <v>6.7012533000000012</v>
      </c>
      <c r="M32" s="217" t="s">
        <v>36</v>
      </c>
      <c r="N32" s="15">
        <v>8.8000000000000007</v>
      </c>
      <c r="O32" s="15">
        <v>15</v>
      </c>
      <c r="P32" s="15"/>
      <c r="Q32" s="11"/>
      <c r="R32" s="115"/>
      <c r="S32" s="11"/>
      <c r="T32" s="11"/>
      <c r="U32" s="64"/>
      <c r="V32" s="162" t="s">
        <v>140</v>
      </c>
      <c r="W32">
        <f>W31*M25</f>
        <v>531.29999999999995</v>
      </c>
      <c r="AA32" s="72" t="s">
        <v>61</v>
      </c>
      <c r="AB32" s="72" t="s">
        <v>63</v>
      </c>
      <c r="AC32" s="72" t="s">
        <v>64</v>
      </c>
    </row>
    <row r="33" spans="1:31" x14ac:dyDescent="0.35">
      <c r="B33" s="112"/>
      <c r="C33" s="96"/>
      <c r="D33" s="11"/>
      <c r="E33" s="89"/>
      <c r="F33" s="113"/>
      <c r="G33" s="11"/>
      <c r="H33" s="89"/>
      <c r="I33" s="114"/>
      <c r="J33" s="11"/>
      <c r="K33" s="11"/>
      <c r="L33" s="114"/>
      <c r="M33" s="11"/>
      <c r="N33" s="15">
        <v>9</v>
      </c>
      <c r="O33" s="15">
        <v>16</v>
      </c>
      <c r="P33" s="15"/>
      <c r="Q33" s="11"/>
      <c r="R33" s="115"/>
      <c r="S33" s="11"/>
      <c r="T33" s="11"/>
      <c r="U33" s="64"/>
      <c r="V33" s="82" t="s">
        <v>52</v>
      </c>
      <c r="W33" s="82">
        <v>34800</v>
      </c>
      <c r="AA33" s="70" t="s">
        <v>71</v>
      </c>
      <c r="AB33" s="71">
        <v>1022</v>
      </c>
      <c r="AC33" s="71">
        <v>1969</v>
      </c>
    </row>
    <row r="34" spans="1:31" x14ac:dyDescent="0.35">
      <c r="B34" s="156" t="s">
        <v>132</v>
      </c>
      <c r="C34" s="157">
        <f>C31-I31</f>
        <v>4.7303626046818152</v>
      </c>
      <c r="D34" s="158" t="s">
        <v>36</v>
      </c>
      <c r="E34" s="89"/>
      <c r="F34" s="226" t="s">
        <v>136</v>
      </c>
      <c r="G34" s="159">
        <f>C32-I32</f>
        <v>37.191583910319807</v>
      </c>
      <c r="H34" s="160" t="s">
        <v>36</v>
      </c>
      <c r="I34" s="114"/>
      <c r="J34" s="11"/>
      <c r="K34" s="11"/>
      <c r="L34" s="114"/>
      <c r="M34" s="11"/>
      <c r="N34" s="15">
        <v>9.1999999999999993</v>
      </c>
      <c r="O34" s="15">
        <v>18</v>
      </c>
      <c r="P34" s="15"/>
      <c r="Q34" s="11"/>
      <c r="R34" s="115"/>
      <c r="S34" s="11"/>
      <c r="T34" s="11"/>
      <c r="U34" s="64"/>
      <c r="V34" s="82" t="s">
        <v>74</v>
      </c>
      <c r="W34" s="85">
        <f>VLOOKUP(C24,'Screening Criteria-95AFUE'!S17:T23,2)</f>
        <v>903</v>
      </c>
      <c r="AA34" s="58" t="s">
        <v>72</v>
      </c>
      <c r="AB34" s="69">
        <v>976</v>
      </c>
      <c r="AC34" s="69">
        <v>1840</v>
      </c>
    </row>
    <row r="35" spans="1:31" ht="15" thickBot="1" x14ac:dyDescent="0.4">
      <c r="B35" s="156" t="s">
        <v>133</v>
      </c>
      <c r="C35" s="157">
        <f>F31-L31</f>
        <v>7.5609610951538428</v>
      </c>
      <c r="D35" s="158" t="s">
        <v>36</v>
      </c>
      <c r="E35" s="89"/>
      <c r="F35" s="226" t="s">
        <v>137</v>
      </c>
      <c r="G35" s="159">
        <f>F32-L32</f>
        <v>2.4628537769230761</v>
      </c>
      <c r="H35" s="160" t="s">
        <v>36</v>
      </c>
      <c r="I35" s="114"/>
      <c r="J35" s="11"/>
      <c r="K35" s="11"/>
      <c r="L35" s="114"/>
      <c r="M35" s="11"/>
      <c r="N35" s="15">
        <v>13</v>
      </c>
      <c r="O35" s="15">
        <v>20.5</v>
      </c>
      <c r="P35" s="15"/>
      <c r="Q35" s="11"/>
      <c r="R35" s="115"/>
      <c r="S35" s="11"/>
      <c r="T35" s="11"/>
      <c r="U35" s="64"/>
      <c r="V35" s="82"/>
      <c r="W35" s="85"/>
      <c r="AA35" s="58" t="s">
        <v>70</v>
      </c>
      <c r="AB35" s="69">
        <v>836</v>
      </c>
      <c r="AC35" s="69">
        <v>1754</v>
      </c>
    </row>
    <row r="36" spans="1:31" ht="15" thickBot="1" x14ac:dyDescent="0.4">
      <c r="B36" s="225" t="s">
        <v>30</v>
      </c>
      <c r="C36" s="116">
        <f>C35+C34</f>
        <v>12.291323699835658</v>
      </c>
      <c r="D36" s="103" t="s">
        <v>36</v>
      </c>
      <c r="E36" s="15"/>
      <c r="F36" s="227" t="s">
        <v>39</v>
      </c>
      <c r="G36" s="151">
        <f>G35+G34</f>
        <v>39.654437687242883</v>
      </c>
      <c r="H36" s="106" t="s">
        <v>36</v>
      </c>
      <c r="I36" s="15"/>
      <c r="J36" s="15"/>
      <c r="K36" s="15"/>
      <c r="L36" s="15"/>
      <c r="M36" s="15"/>
      <c r="N36" s="15"/>
      <c r="O36" s="15"/>
      <c r="P36" s="15"/>
      <c r="Q36" s="15"/>
      <c r="R36" s="16"/>
      <c r="S36" s="15"/>
      <c r="T36" s="15"/>
      <c r="U36" s="64"/>
      <c r="V36" s="82"/>
      <c r="W36" s="85"/>
      <c r="AA36" s="58" t="s">
        <v>69</v>
      </c>
      <c r="AB36" s="69">
        <v>645</v>
      </c>
      <c r="AC36" s="69">
        <v>1266</v>
      </c>
    </row>
    <row r="37" spans="1:31" s="44" customFormat="1" x14ac:dyDescent="0.35">
      <c r="B37" s="209"/>
      <c r="C37" s="210"/>
      <c r="D37" s="211"/>
      <c r="E37" s="212"/>
      <c r="F37" s="212"/>
      <c r="G37" s="212"/>
      <c r="H37" s="212"/>
      <c r="I37" s="212"/>
      <c r="J37" s="212"/>
      <c r="K37" s="212"/>
      <c r="L37" s="212"/>
      <c r="M37" s="212"/>
      <c r="N37" s="212"/>
      <c r="O37" s="212"/>
      <c r="P37" s="212"/>
      <c r="Q37" s="212"/>
      <c r="R37" s="213"/>
      <c r="S37" s="11"/>
      <c r="T37" s="11"/>
      <c r="U37" s="11"/>
      <c r="V37" s="82" t="s">
        <v>53</v>
      </c>
      <c r="W37" s="82">
        <f>D23</f>
        <v>13</v>
      </c>
      <c r="X37"/>
      <c r="Y37"/>
      <c r="AA37" s="58" t="s">
        <v>68</v>
      </c>
      <c r="AB37" s="69">
        <v>656</v>
      </c>
      <c r="AC37" s="69">
        <v>1288</v>
      </c>
    </row>
    <row r="38" spans="1:31" ht="19" hidden="1" customHeight="1" x14ac:dyDescent="0.35">
      <c r="B38" s="178"/>
      <c r="C38" s="45"/>
      <c r="D38" s="15"/>
      <c r="E38" s="15"/>
      <c r="F38" s="15"/>
      <c r="G38" s="15"/>
      <c r="H38" s="15"/>
      <c r="I38" s="15"/>
      <c r="J38" s="15"/>
      <c r="K38" s="15"/>
      <c r="L38" s="15"/>
      <c r="M38" s="15"/>
      <c r="N38" s="15"/>
      <c r="O38" s="15"/>
      <c r="P38" s="15"/>
      <c r="Q38" s="15"/>
      <c r="R38" s="15"/>
      <c r="S38" s="15"/>
      <c r="T38" s="15"/>
      <c r="U38" s="64"/>
      <c r="V38" s="161"/>
      <c r="W38" s="161"/>
      <c r="X38" s="44"/>
      <c r="Y38" s="44"/>
    </row>
    <row r="39" spans="1:31" hidden="1" x14ac:dyDescent="0.35">
      <c r="B39" s="178"/>
      <c r="C39" s="45"/>
      <c r="D39" s="15"/>
      <c r="E39" s="15"/>
      <c r="F39" s="15"/>
      <c r="G39" s="15"/>
      <c r="H39" s="15"/>
      <c r="I39" s="15"/>
      <c r="J39" s="15"/>
      <c r="K39" s="15"/>
      <c r="L39" s="15"/>
      <c r="M39" s="15"/>
      <c r="N39" s="15"/>
      <c r="O39" s="15"/>
      <c r="P39" s="15"/>
      <c r="Q39" s="15"/>
      <c r="R39" s="15"/>
      <c r="S39" s="15"/>
      <c r="T39" s="15"/>
      <c r="U39" s="64"/>
      <c r="V39" s="82"/>
      <c r="W39" s="82"/>
    </row>
    <row r="40" spans="1:31" hidden="1" x14ac:dyDescent="0.35">
      <c r="B40" s="178"/>
      <c r="C40" s="45"/>
      <c r="D40" s="15"/>
      <c r="E40" s="15"/>
      <c r="F40" s="15"/>
      <c r="G40" s="15"/>
      <c r="H40" s="15"/>
      <c r="I40" s="15"/>
      <c r="J40" s="15"/>
      <c r="K40" s="15"/>
      <c r="L40" s="15"/>
      <c r="M40" s="15"/>
      <c r="N40" s="15"/>
      <c r="O40" s="15"/>
      <c r="P40" s="15"/>
      <c r="Q40" s="15"/>
      <c r="R40" s="15"/>
      <c r="S40" s="15"/>
      <c r="T40" s="15"/>
      <c r="U40" s="64"/>
      <c r="V40" s="82"/>
      <c r="W40" s="82"/>
    </row>
    <row r="41" spans="1:31" hidden="1" x14ac:dyDescent="0.35">
      <c r="B41" s="205"/>
      <c r="C41" s="206"/>
      <c r="D41" s="206"/>
      <c r="E41" s="206"/>
      <c r="F41" s="206"/>
      <c r="G41" s="206"/>
      <c r="H41" s="206"/>
      <c r="I41" s="206"/>
      <c r="J41" s="206"/>
      <c r="K41" s="206"/>
      <c r="L41" s="206"/>
      <c r="M41" s="206"/>
      <c r="N41" s="189"/>
      <c r="O41" s="189"/>
      <c r="P41" s="189"/>
      <c r="Q41" s="189"/>
      <c r="R41" s="189"/>
      <c r="S41" s="146"/>
      <c r="T41" s="146"/>
      <c r="U41" s="64"/>
      <c r="V41" s="82" t="s">
        <v>54</v>
      </c>
      <c r="W41" s="82">
        <f>D26</f>
        <v>16</v>
      </c>
    </row>
    <row r="42" spans="1:31" hidden="1" x14ac:dyDescent="0.35">
      <c r="A42" s="15"/>
      <c r="B42" s="205"/>
      <c r="C42" s="206"/>
      <c r="D42" s="206"/>
      <c r="E42" s="206"/>
      <c r="F42" s="206"/>
      <c r="G42" s="206"/>
      <c r="H42" s="206"/>
      <c r="I42" s="206"/>
      <c r="J42" s="206"/>
      <c r="K42" s="206"/>
      <c r="L42" s="206"/>
      <c r="M42" s="206"/>
      <c r="N42" s="189"/>
      <c r="O42" s="189"/>
      <c r="P42" s="189"/>
      <c r="Q42" s="189"/>
      <c r="R42" s="189"/>
      <c r="S42" s="146"/>
      <c r="T42" s="146"/>
      <c r="U42" s="65"/>
      <c r="V42" s="82" t="s">
        <v>55</v>
      </c>
      <c r="W42" s="82">
        <f>(W34*W33*(1/(W37*(1-0.1)))/1000)*W26/1000000</f>
        <v>28.133808726153845</v>
      </c>
      <c r="X42" t="s">
        <v>36</v>
      </c>
    </row>
    <row r="43" spans="1:31" ht="15" hidden="1" thickBot="1" x14ac:dyDescent="0.4">
      <c r="B43" s="178"/>
      <c r="C43" s="45"/>
      <c r="D43" s="15"/>
      <c r="E43" s="15"/>
      <c r="F43" s="15"/>
      <c r="G43" s="15"/>
      <c r="H43" s="15"/>
      <c r="I43" s="15"/>
      <c r="J43" s="15"/>
      <c r="K43" s="15"/>
      <c r="L43" s="15"/>
      <c r="M43" s="15"/>
      <c r="N43" s="15"/>
      <c r="O43" s="15"/>
      <c r="P43" s="15"/>
      <c r="Q43" s="15"/>
      <c r="R43" s="15"/>
      <c r="S43" s="15"/>
      <c r="T43" s="15"/>
      <c r="V43" s="82" t="s">
        <v>158</v>
      </c>
      <c r="W43" s="82">
        <f>(W34*W33*(1/(W37*(1-0.1)))/1000)</f>
        <v>2685.8461538461534</v>
      </c>
      <c r="X43" t="s">
        <v>17</v>
      </c>
    </row>
    <row r="44" spans="1:31" ht="16" hidden="1" thickBot="1" x14ac:dyDescent="0.4">
      <c r="B44" s="323" t="s">
        <v>90</v>
      </c>
      <c r="C44" s="324"/>
      <c r="D44" s="324"/>
      <c r="E44" s="324"/>
      <c r="F44" s="324"/>
      <c r="G44" s="324"/>
      <c r="H44" s="324"/>
      <c r="I44" s="324"/>
      <c r="J44" s="324"/>
      <c r="K44" s="324"/>
      <c r="L44" s="324"/>
      <c r="M44" s="325"/>
      <c r="N44" s="323" t="s">
        <v>91</v>
      </c>
      <c r="O44" s="324"/>
      <c r="P44" s="324"/>
      <c r="Q44" s="324"/>
      <c r="R44" s="324"/>
      <c r="S44" s="325"/>
      <c r="AB44" s="82" t="s">
        <v>56</v>
      </c>
      <c r="AC44" s="83">
        <f>(W34*W33*(1/W41)/1000)*W26/1000000</f>
        <v>20.572847631000002</v>
      </c>
      <c r="AD44" t="s">
        <v>36</v>
      </c>
    </row>
    <row r="45" spans="1:31" ht="21.75" hidden="1" customHeight="1" x14ac:dyDescent="0.35">
      <c r="B45" s="223" t="s">
        <v>78</v>
      </c>
      <c r="C45" s="322" t="s">
        <v>82</v>
      </c>
      <c r="D45" s="322"/>
      <c r="E45" s="322"/>
      <c r="F45" s="322"/>
      <c r="G45" s="322"/>
      <c r="H45" s="341" t="s">
        <v>83</v>
      </c>
      <c r="I45" s="342"/>
      <c r="J45" s="342"/>
      <c r="K45" s="342"/>
      <c r="L45" s="342"/>
      <c r="M45" s="327"/>
      <c r="N45" s="198" t="s">
        <v>82</v>
      </c>
      <c r="O45" s="199"/>
      <c r="P45" s="191" t="s">
        <v>116</v>
      </c>
      <c r="Q45" s="192"/>
      <c r="R45" s="326" t="s">
        <v>164</v>
      </c>
      <c r="S45" s="327"/>
      <c r="AB45" s="82" t="s">
        <v>157</v>
      </c>
      <c r="AC45" s="83">
        <f>(W34*W33*(1/W41)/1000)</f>
        <v>1964.0250000000001</v>
      </c>
      <c r="AD45" t="s">
        <v>17</v>
      </c>
    </row>
    <row r="46" spans="1:31" ht="19.75" hidden="1" customHeight="1" x14ac:dyDescent="0.35">
      <c r="B46" s="108" t="s">
        <v>79</v>
      </c>
      <c r="C46" s="319" t="s">
        <v>166</v>
      </c>
      <c r="D46" s="319"/>
      <c r="E46" s="319"/>
      <c r="F46" s="319"/>
      <c r="G46" s="319"/>
      <c r="H46" s="330" t="s">
        <v>12</v>
      </c>
      <c r="I46" s="331"/>
      <c r="J46" s="331"/>
      <c r="K46" s="331"/>
      <c r="L46" s="331"/>
      <c r="M46" s="343"/>
      <c r="N46" s="202">
        <f>C36*10*29.3</f>
        <v>3601.3578440518481</v>
      </c>
      <c r="O46" s="127" t="s">
        <v>17</v>
      </c>
      <c r="P46" s="130">
        <v>0</v>
      </c>
      <c r="Q46" s="131" t="s">
        <v>117</v>
      </c>
      <c r="R46" s="137">
        <f>(N46/$M$24)+(P46/$M$25)</f>
        <v>12.29132369983566</v>
      </c>
      <c r="S46" s="127" t="s">
        <v>36</v>
      </c>
      <c r="AB46" s="148" t="s">
        <v>154</v>
      </c>
      <c r="AC46" s="166">
        <f>F32-L32</f>
        <v>2.4628537769230761</v>
      </c>
      <c r="AD46" t="s">
        <v>36</v>
      </c>
    </row>
    <row r="47" spans="1:31" ht="19.75" hidden="1" customHeight="1" x14ac:dyDescent="0.35">
      <c r="B47" s="108" t="s">
        <v>80</v>
      </c>
      <c r="C47" s="320" t="s">
        <v>130</v>
      </c>
      <c r="D47" s="320"/>
      <c r="E47" s="320"/>
      <c r="F47" s="320"/>
      <c r="G47" s="320"/>
      <c r="H47" s="333" t="s">
        <v>131</v>
      </c>
      <c r="I47" s="334"/>
      <c r="J47" s="334"/>
      <c r="K47" s="334"/>
      <c r="L47" s="334"/>
      <c r="M47" s="344"/>
      <c r="N47" s="203">
        <f>C35*293</f>
        <v>2215.3616008800759</v>
      </c>
      <c r="O47" s="128" t="s">
        <v>17</v>
      </c>
      <c r="P47" s="126">
        <f>C34*10</f>
        <v>47.303626046818152</v>
      </c>
      <c r="Q47" s="132" t="s">
        <v>117</v>
      </c>
      <c r="R47" s="137">
        <f>(N47/$M$24)+(P47/$M$25)</f>
        <v>12.291323699835658</v>
      </c>
      <c r="S47" s="127" t="s">
        <v>36</v>
      </c>
      <c r="AB47" s="148" t="s">
        <v>155</v>
      </c>
      <c r="AC47" s="166">
        <f>W43-AC45</f>
        <v>721.82115384615327</v>
      </c>
      <c r="AD47" t="s">
        <v>17</v>
      </c>
    </row>
    <row r="48" spans="1:31" s="43" customFormat="1" ht="17" hidden="1" customHeight="1" thickBot="1" x14ac:dyDescent="0.4">
      <c r="B48" s="109" t="s">
        <v>81</v>
      </c>
      <c r="C48" s="321" t="s">
        <v>12</v>
      </c>
      <c r="D48" s="321"/>
      <c r="E48" s="321"/>
      <c r="F48" s="321"/>
      <c r="G48" s="321"/>
      <c r="H48" s="345" t="s">
        <v>167</v>
      </c>
      <c r="I48" s="346"/>
      <c r="J48" s="346"/>
      <c r="K48" s="346"/>
      <c r="L48" s="346"/>
      <c r="M48" s="347"/>
      <c r="N48" s="204">
        <v>0</v>
      </c>
      <c r="O48" s="129" t="s">
        <v>17</v>
      </c>
      <c r="P48" s="135">
        <f>C36*10</f>
        <v>122.91323699835658</v>
      </c>
      <c r="Q48" s="133" t="s">
        <v>117</v>
      </c>
      <c r="R48" s="138">
        <f>(N48/$M$24)+(P48/$M$25)</f>
        <v>12.291323699835658</v>
      </c>
      <c r="S48" s="139" t="s">
        <v>36</v>
      </c>
      <c r="AB48" s="148" t="s">
        <v>146</v>
      </c>
      <c r="AC48" s="166">
        <f>'Baseline ASHP'!P30-'Counting Savings_CURRENT'!W27</f>
        <v>11.397328100616782</v>
      </c>
      <c r="AD48" t="s">
        <v>36</v>
      </c>
      <c r="AE48"/>
    </row>
    <row r="49" spans="2:31" ht="21.75" hidden="1" customHeight="1" x14ac:dyDescent="0.35">
      <c r="AB49" s="82" t="s">
        <v>145</v>
      </c>
      <c r="AC49" s="170">
        <f>'Baseline ASHP'!P31-'Counting Savings_CURRENT'!W28</f>
        <v>1088.0670349730199</v>
      </c>
      <c r="AD49" t="s">
        <v>17</v>
      </c>
    </row>
    <row r="50" spans="2:31" ht="15" hidden="1" thickBot="1" x14ac:dyDescent="0.4">
      <c r="AB50" s="82" t="s">
        <v>139</v>
      </c>
      <c r="AC50" s="58">
        <f>'Baseline ASHP'!I35</f>
        <v>19.650900813008132</v>
      </c>
      <c r="AD50" t="s">
        <v>36</v>
      </c>
    </row>
    <row r="51" spans="2:31" ht="16" hidden="1" thickBot="1" x14ac:dyDescent="0.4">
      <c r="B51" s="336" t="s">
        <v>97</v>
      </c>
      <c r="C51" s="337"/>
      <c r="D51" s="337"/>
      <c r="E51" s="337"/>
      <c r="F51" s="337"/>
      <c r="G51" s="337"/>
      <c r="H51" s="337"/>
      <c r="I51" s="337"/>
      <c r="J51" s="337"/>
      <c r="K51" s="337"/>
      <c r="L51" s="337"/>
      <c r="M51" s="337"/>
      <c r="N51" s="336" t="s">
        <v>91</v>
      </c>
      <c r="O51" s="337"/>
      <c r="P51" s="337"/>
      <c r="Q51" s="337"/>
      <c r="R51" s="337"/>
      <c r="S51" s="338"/>
      <c r="AB51" s="82" t="s">
        <v>156</v>
      </c>
      <c r="AC51" s="170">
        <f>'Baseline ASHP'!P31</f>
        <v>5759.3495934959356</v>
      </c>
      <c r="AD51" t="s">
        <v>17</v>
      </c>
    </row>
    <row r="52" spans="2:31" ht="17.75" hidden="1" customHeight="1" x14ac:dyDescent="0.35">
      <c r="B52" s="110" t="s">
        <v>78</v>
      </c>
      <c r="C52" s="328" t="s">
        <v>82</v>
      </c>
      <c r="D52" s="329"/>
      <c r="E52" s="329"/>
      <c r="F52" s="329"/>
      <c r="G52" s="329"/>
      <c r="H52" s="351" t="s">
        <v>83</v>
      </c>
      <c r="I52" s="352"/>
      <c r="J52" s="352"/>
      <c r="K52" s="352"/>
      <c r="L52" s="352"/>
      <c r="M52" s="352"/>
      <c r="N52" s="191" t="s">
        <v>82</v>
      </c>
      <c r="O52" s="192"/>
      <c r="P52" s="191" t="s">
        <v>83</v>
      </c>
      <c r="Q52" s="192"/>
      <c r="R52" s="339" t="s">
        <v>118</v>
      </c>
      <c r="S52" s="340"/>
      <c r="AB52" s="82" t="s">
        <v>142</v>
      </c>
      <c r="AC52" s="58">
        <f>H24/100000</f>
        <v>0.10474840000000001</v>
      </c>
      <c r="AD52" t="s">
        <v>149</v>
      </c>
    </row>
    <row r="53" spans="2:31" ht="19" hidden="1" customHeight="1" x14ac:dyDescent="0.35">
      <c r="B53" s="108" t="s">
        <v>79</v>
      </c>
      <c r="C53" s="330" t="s">
        <v>168</v>
      </c>
      <c r="D53" s="331"/>
      <c r="E53" s="331"/>
      <c r="F53" s="331"/>
      <c r="G53" s="332"/>
      <c r="H53" s="319">
        <v>0</v>
      </c>
      <c r="I53" s="319"/>
      <c r="J53" s="319"/>
      <c r="K53" s="319"/>
      <c r="L53" s="319"/>
      <c r="M53" s="330"/>
      <c r="N53" s="202">
        <f>G36*10*29.3</f>
        <v>11618.750242362164</v>
      </c>
      <c r="O53" s="131" t="s">
        <v>17</v>
      </c>
      <c r="P53" s="130">
        <v>0</v>
      </c>
      <c r="Q53" s="134" t="s">
        <v>117</v>
      </c>
      <c r="R53" s="152">
        <f>(N53/$M$24)+(P53/$M$25)</f>
        <v>39.654437687242883</v>
      </c>
      <c r="S53" s="131" t="s">
        <v>36</v>
      </c>
      <c r="AB53" s="168" t="s">
        <v>148</v>
      </c>
      <c r="AC53" s="168">
        <f>M22/100000</f>
        <v>3.4119999999999998E-2</v>
      </c>
      <c r="AD53" t="s">
        <v>149</v>
      </c>
    </row>
    <row r="54" spans="2:31" ht="17.75" hidden="1" customHeight="1" x14ac:dyDescent="0.35">
      <c r="B54" s="108" t="s">
        <v>80</v>
      </c>
      <c r="C54" s="333" t="s">
        <v>134</v>
      </c>
      <c r="D54" s="334"/>
      <c r="E54" s="334"/>
      <c r="F54" s="334"/>
      <c r="G54" s="335"/>
      <c r="H54" s="320" t="s">
        <v>135</v>
      </c>
      <c r="I54" s="320"/>
      <c r="J54" s="320"/>
      <c r="K54" s="320"/>
      <c r="L54" s="320"/>
      <c r="M54" s="333"/>
      <c r="N54" s="224">
        <f>G35*293</f>
        <v>721.61615663846123</v>
      </c>
      <c r="O54" s="131" t="s">
        <v>17</v>
      </c>
      <c r="P54" s="141">
        <f>G34*10</f>
        <v>371.9158391031981</v>
      </c>
      <c r="Q54" s="132" t="s">
        <v>117</v>
      </c>
      <c r="R54" s="152">
        <f>(N54/$M$24)+(P54/$M$25)</f>
        <v>39.654437687242883</v>
      </c>
      <c r="S54" s="131" t="s">
        <v>36</v>
      </c>
      <c r="AD54" s="43"/>
      <c r="AE54" s="43"/>
    </row>
    <row r="55" spans="2:31" ht="15.65" hidden="1" customHeight="1" thickBot="1" x14ac:dyDescent="0.4">
      <c r="B55" s="111" t="s">
        <v>81</v>
      </c>
      <c r="C55" s="348">
        <v>0</v>
      </c>
      <c r="D55" s="349"/>
      <c r="E55" s="349"/>
      <c r="F55" s="349"/>
      <c r="G55" s="350"/>
      <c r="H55" s="353" t="s">
        <v>169</v>
      </c>
      <c r="I55" s="353"/>
      <c r="J55" s="353"/>
      <c r="K55" s="353"/>
      <c r="L55" s="353"/>
      <c r="M55" s="348"/>
      <c r="N55" s="204">
        <v>0</v>
      </c>
      <c r="O55" s="136" t="s">
        <v>17</v>
      </c>
      <c r="P55" s="135">
        <f>G36*10</f>
        <v>396.54437687242881</v>
      </c>
      <c r="Q55" s="133" t="s">
        <v>117</v>
      </c>
      <c r="R55" s="153">
        <f>(N55/$M$24)+(P55/$M$25)</f>
        <v>39.654437687242883</v>
      </c>
      <c r="S55" s="140" t="s">
        <v>36</v>
      </c>
      <c r="AC55" s="171">
        <f>AC47+AC49</f>
        <v>1809.8881888191731</v>
      </c>
    </row>
    <row r="56" spans="2:31" ht="19" customHeight="1" thickBot="1" x14ac:dyDescent="0.4"/>
    <row r="57" spans="2:31" ht="16" thickBot="1" x14ac:dyDescent="0.4">
      <c r="B57" s="357" t="s">
        <v>159</v>
      </c>
      <c r="C57" s="358"/>
      <c r="D57" s="358"/>
      <c r="E57" s="358"/>
      <c r="F57" s="358"/>
      <c r="G57" s="358"/>
      <c r="H57" s="358"/>
      <c r="I57" s="358"/>
      <c r="J57" s="358"/>
      <c r="K57" s="358"/>
      <c r="L57" s="358"/>
      <c r="M57" s="359"/>
      <c r="N57" s="360" t="s">
        <v>91</v>
      </c>
      <c r="O57" s="360"/>
      <c r="P57" s="360"/>
      <c r="Q57" s="360"/>
      <c r="R57" s="360"/>
      <c r="S57" s="361"/>
    </row>
    <row r="58" spans="2:31" x14ac:dyDescent="0.35">
      <c r="B58" s="229" t="s">
        <v>78</v>
      </c>
      <c r="C58" s="367" t="s">
        <v>82</v>
      </c>
      <c r="D58" s="368"/>
      <c r="E58" s="368"/>
      <c r="F58" s="368"/>
      <c r="G58" s="369"/>
      <c r="H58" s="367" t="s">
        <v>83</v>
      </c>
      <c r="I58" s="368"/>
      <c r="J58" s="368"/>
      <c r="K58" s="368"/>
      <c r="L58" s="368"/>
      <c r="M58" s="373"/>
      <c r="N58" s="191" t="s">
        <v>82</v>
      </c>
      <c r="O58" s="192"/>
      <c r="P58" s="191" t="s">
        <v>83</v>
      </c>
      <c r="Q58" s="192"/>
      <c r="R58" s="193" t="s">
        <v>118</v>
      </c>
      <c r="S58" s="194"/>
    </row>
    <row r="59" spans="2:31" ht="57.15" customHeight="1" x14ac:dyDescent="0.35">
      <c r="B59" s="108" t="s">
        <v>79</v>
      </c>
      <c r="C59" s="370" t="s">
        <v>170</v>
      </c>
      <c r="D59" s="371"/>
      <c r="E59" s="371"/>
      <c r="F59" s="371"/>
      <c r="G59" s="372"/>
      <c r="H59" s="330">
        <v>0</v>
      </c>
      <c r="I59" s="331"/>
      <c r="J59" s="331"/>
      <c r="K59" s="331"/>
      <c r="L59" s="331"/>
      <c r="M59" s="343"/>
      <c r="N59" s="202">
        <f>AC47+AC49-AC51+(W32/AC52)</f>
        <v>1122.6924420645714</v>
      </c>
      <c r="O59" s="131" t="s">
        <v>17</v>
      </c>
      <c r="P59" s="130">
        <v>0</v>
      </c>
      <c r="Q59" s="134" t="s">
        <v>117</v>
      </c>
      <c r="R59" s="152">
        <f>(N59/$M$24)+(P59/$M$25)</f>
        <v>3.8317148193330084</v>
      </c>
      <c r="S59" s="131" t="s">
        <v>36</v>
      </c>
      <c r="T59" s="147"/>
      <c r="U59" s="147"/>
      <c r="V59" s="147"/>
      <c r="W59" s="147"/>
      <c r="X59" s="147"/>
    </row>
    <row r="60" spans="2:31" ht="37.4" customHeight="1" x14ac:dyDescent="0.35">
      <c r="B60" s="108" t="s">
        <v>80</v>
      </c>
      <c r="C60" s="370" t="s">
        <v>171</v>
      </c>
      <c r="D60" s="371"/>
      <c r="E60" s="371"/>
      <c r="F60" s="371"/>
      <c r="G60" s="372"/>
      <c r="H60" s="370" t="s">
        <v>172</v>
      </c>
      <c r="I60" s="371"/>
      <c r="J60" s="371"/>
      <c r="K60" s="371"/>
      <c r="L60" s="371"/>
      <c r="M60" s="374"/>
      <c r="N60" s="224">
        <f>(AC46*M24)+AC49</f>
        <v>1809.6831916114811</v>
      </c>
      <c r="O60" s="131" t="s">
        <v>17</v>
      </c>
      <c r="P60" s="169">
        <f>W32-(AC52*'Baseline ASHP'!P31)</f>
        <v>-71.982654959349702</v>
      </c>
      <c r="Q60" s="132" t="s">
        <v>117</v>
      </c>
      <c r="R60" s="152">
        <f>(N60/$M$24)+(P60/$M$25)</f>
        <v>-1.0218723505032941</v>
      </c>
      <c r="S60" s="131" t="s">
        <v>36</v>
      </c>
      <c r="Y60" s="117" t="s">
        <v>96</v>
      </c>
    </row>
    <row r="61" spans="2:31" ht="59.15" customHeight="1" thickBot="1" x14ac:dyDescent="0.4">
      <c r="B61" s="111" t="s">
        <v>81</v>
      </c>
      <c r="C61" s="348">
        <v>0</v>
      </c>
      <c r="D61" s="349"/>
      <c r="E61" s="349"/>
      <c r="F61" s="349"/>
      <c r="G61" s="350"/>
      <c r="H61" s="354" t="s">
        <v>173</v>
      </c>
      <c r="I61" s="355"/>
      <c r="J61" s="355"/>
      <c r="K61" s="355"/>
      <c r="L61" s="355"/>
      <c r="M61" s="356"/>
      <c r="N61" s="204">
        <v>0</v>
      </c>
      <c r="O61" s="136" t="s">
        <v>17</v>
      </c>
      <c r="P61" s="135">
        <f>W32-(AC51*AC52)+(AC47*AC52)+(AC49*AC52)</f>
        <v>117.60023699835658</v>
      </c>
      <c r="Q61" s="133" t="s">
        <v>117</v>
      </c>
      <c r="R61" s="153">
        <f>(N61/$M$24)+(P61/$M$25)</f>
        <v>11.760023699835658</v>
      </c>
      <c r="S61" s="140" t="s">
        <v>36</v>
      </c>
    </row>
    <row r="62" spans="2:31" ht="44.9" customHeight="1" thickBot="1" x14ac:dyDescent="0.4"/>
    <row r="63" spans="2:31" ht="15" thickBot="1" x14ac:dyDescent="0.4">
      <c r="B63" s="364" t="s">
        <v>147</v>
      </c>
      <c r="C63" s="365"/>
      <c r="D63" s="365"/>
      <c r="E63" s="365"/>
      <c r="F63" s="365"/>
      <c r="G63" s="365"/>
      <c r="H63" s="365"/>
      <c r="I63" s="365"/>
      <c r="J63" s="365"/>
      <c r="K63" s="365"/>
      <c r="L63" s="365"/>
      <c r="M63" s="366"/>
      <c r="N63" s="195" t="s">
        <v>91</v>
      </c>
      <c r="O63" s="196"/>
      <c r="P63" s="196"/>
      <c r="Q63" s="196"/>
      <c r="R63" s="196"/>
      <c r="S63" s="197"/>
    </row>
    <row r="64" spans="2:31" x14ac:dyDescent="0.35">
      <c r="B64" s="230" t="s">
        <v>78</v>
      </c>
      <c r="C64" s="362" t="s">
        <v>82</v>
      </c>
      <c r="D64" s="363"/>
      <c r="E64" s="363"/>
      <c r="F64" s="363"/>
      <c r="G64" s="363"/>
      <c r="H64" s="377" t="s">
        <v>83</v>
      </c>
      <c r="I64" s="377"/>
      <c r="J64" s="377"/>
      <c r="K64" s="377"/>
      <c r="L64" s="377"/>
      <c r="M64" s="378"/>
      <c r="N64" s="191" t="s">
        <v>82</v>
      </c>
      <c r="O64" s="192"/>
      <c r="P64" s="191" t="s">
        <v>83</v>
      </c>
      <c r="Q64" s="192"/>
      <c r="R64" s="193" t="s">
        <v>118</v>
      </c>
      <c r="S64" s="194"/>
    </row>
    <row r="65" spans="2:19" ht="61.9" customHeight="1" x14ac:dyDescent="0.35">
      <c r="B65" s="108" t="s">
        <v>79</v>
      </c>
      <c r="C65" s="375" t="s">
        <v>174</v>
      </c>
      <c r="D65" s="375"/>
      <c r="E65" s="375"/>
      <c r="F65" s="375"/>
      <c r="G65" s="375"/>
      <c r="H65" s="319">
        <v>0</v>
      </c>
      <c r="I65" s="319"/>
      <c r="J65" s="319"/>
      <c r="K65" s="319"/>
      <c r="L65" s="319"/>
      <c r="M65" s="376"/>
      <c r="N65" s="202">
        <f>AC47+AC49-AC51+(W32/AC53)</f>
        <v>11622.050904819134</v>
      </c>
      <c r="O65" s="131" t="s">
        <v>17</v>
      </c>
      <c r="P65" s="130">
        <v>0</v>
      </c>
      <c r="Q65" s="134" t="s">
        <v>117</v>
      </c>
      <c r="R65" s="152">
        <f>(N65/$M$24)+(P65/$M$25)</f>
        <v>39.665702746822987</v>
      </c>
      <c r="S65" s="131" t="s">
        <v>36</v>
      </c>
    </row>
    <row r="66" spans="2:19" ht="32" customHeight="1" x14ac:dyDescent="0.35">
      <c r="B66" s="108" t="s">
        <v>80</v>
      </c>
      <c r="C66" s="375" t="s">
        <v>175</v>
      </c>
      <c r="D66" s="375"/>
      <c r="E66" s="375"/>
      <c r="F66" s="375"/>
      <c r="G66" s="375"/>
      <c r="H66" s="375" t="s">
        <v>172</v>
      </c>
      <c r="I66" s="375"/>
      <c r="J66" s="375"/>
      <c r="K66" s="375"/>
      <c r="L66" s="375"/>
      <c r="M66" s="379"/>
      <c r="N66" s="224">
        <f>(AC46*M24)+AC49</f>
        <v>1809.6831916114811</v>
      </c>
      <c r="O66" s="131" t="s">
        <v>17</v>
      </c>
      <c r="P66" s="141">
        <f>W32-(AC53*'Baseline ASHP'!P31)</f>
        <v>334.79099186991868</v>
      </c>
      <c r="Q66" s="132" t="s">
        <v>117</v>
      </c>
      <c r="R66" s="152">
        <f>(N66/$M$24)+(P66/$M$25)</f>
        <v>39.655492332423542</v>
      </c>
      <c r="S66" s="131" t="s">
        <v>36</v>
      </c>
    </row>
    <row r="67" spans="2:19" ht="57.75" customHeight="1" thickBot="1" x14ac:dyDescent="0.4">
      <c r="B67" s="111" t="s">
        <v>81</v>
      </c>
      <c r="C67" s="353">
        <v>0</v>
      </c>
      <c r="D67" s="353"/>
      <c r="E67" s="353"/>
      <c r="F67" s="353"/>
      <c r="G67" s="353"/>
      <c r="H67" s="380" t="s">
        <v>173</v>
      </c>
      <c r="I67" s="380"/>
      <c r="J67" s="380"/>
      <c r="K67" s="380"/>
      <c r="L67" s="380"/>
      <c r="M67" s="381"/>
      <c r="N67" s="204">
        <v>0</v>
      </c>
      <c r="O67" s="136" t="s">
        <v>17</v>
      </c>
      <c r="P67" s="135">
        <f>W32-(AC51*AC53)+(AC47*AC53)+(AC49*AC53)</f>
        <v>396.54437687242887</v>
      </c>
      <c r="Q67" s="133" t="s">
        <v>117</v>
      </c>
      <c r="R67" s="153">
        <f>(N67/$M$24)+(P67/$M$25)</f>
        <v>39.65443768724289</v>
      </c>
      <c r="S67" s="140" t="s">
        <v>36</v>
      </c>
    </row>
  </sheetData>
  <mergeCells count="79">
    <mergeCell ref="C65:G65"/>
    <mergeCell ref="C66:G66"/>
    <mergeCell ref="C67:G67"/>
    <mergeCell ref="H65:M65"/>
    <mergeCell ref="H64:M64"/>
    <mergeCell ref="H66:M66"/>
    <mergeCell ref="H67:M67"/>
    <mergeCell ref="C61:G61"/>
    <mergeCell ref="H61:M61"/>
    <mergeCell ref="B57:M57"/>
    <mergeCell ref="N57:S57"/>
    <mergeCell ref="C64:G64"/>
    <mergeCell ref="B63:M63"/>
    <mergeCell ref="C58:G58"/>
    <mergeCell ref="C59:G59"/>
    <mergeCell ref="C60:G60"/>
    <mergeCell ref="H59:M59"/>
    <mergeCell ref="H58:M58"/>
    <mergeCell ref="H60:M60"/>
    <mergeCell ref="C55:G55"/>
    <mergeCell ref="H52:M52"/>
    <mergeCell ref="H54:M54"/>
    <mergeCell ref="H53:M53"/>
    <mergeCell ref="H55:M55"/>
    <mergeCell ref="C52:G52"/>
    <mergeCell ref="C53:G53"/>
    <mergeCell ref="C54:G54"/>
    <mergeCell ref="N51:S51"/>
    <mergeCell ref="B51:M51"/>
    <mergeCell ref="R52:S52"/>
    <mergeCell ref="AA31:AC31"/>
    <mergeCell ref="C46:G46"/>
    <mergeCell ref="C47:G47"/>
    <mergeCell ref="C48:G48"/>
    <mergeCell ref="C45:G45"/>
    <mergeCell ref="N44:S44"/>
    <mergeCell ref="R45:S45"/>
    <mergeCell ref="H45:M45"/>
    <mergeCell ref="H46:M46"/>
    <mergeCell ref="H47:M47"/>
    <mergeCell ref="H48:M48"/>
    <mergeCell ref="B44:M44"/>
    <mergeCell ref="K28:K29"/>
    <mergeCell ref="L28:M29"/>
    <mergeCell ref="C30:D30"/>
    <mergeCell ref="F30:G30"/>
    <mergeCell ref="I30:J30"/>
    <mergeCell ref="L30:M30"/>
    <mergeCell ref="I28:J29"/>
    <mergeCell ref="B28:B29"/>
    <mergeCell ref="C28:D29"/>
    <mergeCell ref="E28:E29"/>
    <mergeCell ref="F28:G29"/>
    <mergeCell ref="H28:H29"/>
    <mergeCell ref="Y25:Z27"/>
    <mergeCell ref="AA25:AB25"/>
    <mergeCell ref="AC25:AD25"/>
    <mergeCell ref="AA26:AB26"/>
    <mergeCell ref="AC26:AD26"/>
    <mergeCell ref="AA27:AB27"/>
    <mergeCell ref="AC27:AD27"/>
    <mergeCell ref="B9:B10"/>
    <mergeCell ref="C9:D10"/>
    <mergeCell ref="E9:E10"/>
    <mergeCell ref="F9:G10"/>
    <mergeCell ref="H9:H10"/>
    <mergeCell ref="Y1:AA1"/>
    <mergeCell ref="G22:H22"/>
    <mergeCell ref="I22:J22"/>
    <mergeCell ref="AC24:AD24"/>
    <mergeCell ref="V2:W2"/>
    <mergeCell ref="I9:J10"/>
    <mergeCell ref="K9:K10"/>
    <mergeCell ref="L9:M10"/>
    <mergeCell ref="C16:M17"/>
    <mergeCell ref="V21:W21"/>
    <mergeCell ref="Y22:Z22"/>
    <mergeCell ref="AC22:AD22"/>
    <mergeCell ref="AC23:AD23"/>
  </mergeCells>
  <conditionalFormatting sqref="P47">
    <cfRule type="expression" dxfId="3" priority="2">
      <formula>$P$47&lt;0</formula>
    </cfRule>
  </conditionalFormatting>
  <conditionalFormatting sqref="Q47">
    <cfRule type="expression" dxfId="2" priority="1">
      <formula>$P$47&lt;0</formula>
    </cfRule>
  </conditionalFormatting>
  <dataValidations count="2">
    <dataValidation type="list" allowBlank="1" showInputMessage="1" showErrorMessage="1" sqref="C5" xr:uid="{00000000-0002-0000-0300-000000000000}">
      <formula1>$Y$3:$Y$7</formula1>
    </dataValidation>
    <dataValidation type="list" allowBlank="1" showInputMessage="1" showErrorMessage="1" sqref="D25" xr:uid="{00000000-0002-0000-0300-000001000000}">
      <formula1>$N$31:$N$35</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'Screening Criteria-95AFUE'!$S$10:$S$14</xm:f>
          </x14:formula1>
          <xm:sqref>C24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67"/>
  <sheetViews>
    <sheetView showGridLines="0" topLeftCell="A19" zoomScale="90" zoomScaleNormal="90" workbookViewId="0">
      <selection activeCell="AK35" sqref="AK35"/>
    </sheetView>
    <sheetView topLeftCell="A19" workbookViewId="1"/>
  </sheetViews>
  <sheetFormatPr defaultRowHeight="14.5" x14ac:dyDescent="0.35"/>
  <cols>
    <col min="1" max="1" width="1.453125" customWidth="1"/>
    <col min="2" max="2" width="28.36328125" style="32" customWidth="1"/>
    <col min="3" max="3" width="17.26953125" style="3" customWidth="1"/>
    <col min="4" max="4" width="14.36328125" customWidth="1"/>
    <col min="5" max="5" width="7.26953125" customWidth="1"/>
    <col min="6" max="6" width="20.08984375" customWidth="1"/>
    <col min="7" max="7" width="5.26953125" customWidth="1"/>
    <col min="8" max="8" width="10" customWidth="1"/>
    <col min="9" max="9" width="9.26953125" customWidth="1"/>
    <col min="10" max="10" width="10.6328125" customWidth="1"/>
    <col min="11" max="11" width="9.90625" customWidth="1"/>
    <col min="12" max="13" width="9" customWidth="1"/>
    <col min="15" max="15" width="11" customWidth="1"/>
    <col min="19" max="19" width="11.6328125" customWidth="1"/>
    <col min="20" max="20" width="0" hidden="1" customWidth="1"/>
    <col min="21" max="21" width="14.08984375" hidden="1" customWidth="1"/>
    <col min="22" max="22" width="49.6328125" hidden="1" customWidth="1"/>
    <col min="23" max="23" width="10.36328125" hidden="1" customWidth="1"/>
    <col min="24" max="24" width="2.90625" hidden="1" customWidth="1"/>
    <col min="25" max="25" width="17.453125" hidden="1" customWidth="1"/>
    <col min="26" max="26" width="47" hidden="1" customWidth="1"/>
    <col min="27" max="27" width="16.08984375" hidden="1" customWidth="1"/>
    <col min="28" max="28" width="16.26953125" hidden="1" customWidth="1"/>
    <col min="29" max="29" width="0" hidden="1" customWidth="1"/>
    <col min="30" max="30" width="14" hidden="1" customWidth="1"/>
    <col min="31" max="31" width="18.7265625" hidden="1" customWidth="1"/>
    <col min="32" max="32" width="0" hidden="1" customWidth="1"/>
  </cols>
  <sheetData>
    <row r="1" spans="2:27" ht="18.5" hidden="1" x14ac:dyDescent="0.45">
      <c r="B1" s="76" t="s">
        <v>40</v>
      </c>
      <c r="C1" s="50"/>
      <c r="D1" s="51"/>
      <c r="E1" s="51"/>
      <c r="F1" s="51"/>
      <c r="G1" s="51"/>
      <c r="H1" s="51"/>
      <c r="I1" s="51"/>
      <c r="J1" s="51"/>
      <c r="K1" s="51"/>
      <c r="L1" s="51"/>
      <c r="M1" s="52"/>
      <c r="N1" s="51"/>
      <c r="O1" s="51"/>
      <c r="P1" s="51"/>
      <c r="Q1" s="51"/>
      <c r="R1" s="51"/>
      <c r="S1" s="51"/>
      <c r="T1" s="51"/>
      <c r="U1" s="62"/>
      <c r="V1" s="62"/>
      <c r="W1" s="63"/>
      <c r="Y1" s="264" t="s">
        <v>62</v>
      </c>
      <c r="Z1" s="264"/>
      <c r="AA1" s="264"/>
    </row>
    <row r="2" spans="2:27" ht="29.9" hidden="1" customHeight="1" thickBot="1" x14ac:dyDescent="0.4">
      <c r="B2" s="66"/>
      <c r="C2" s="45"/>
      <c r="D2" s="15"/>
      <c r="E2" s="15"/>
      <c r="F2" s="15"/>
      <c r="G2" s="15"/>
      <c r="H2" s="15"/>
      <c r="I2" s="15"/>
      <c r="J2" s="15"/>
      <c r="K2" s="15"/>
      <c r="L2" s="15"/>
      <c r="M2" s="16"/>
      <c r="N2" s="15"/>
      <c r="O2" s="15"/>
      <c r="P2" s="15"/>
      <c r="Q2" s="15"/>
      <c r="R2" s="15"/>
      <c r="S2" s="15"/>
      <c r="T2" s="15"/>
      <c r="U2" s="64"/>
      <c r="V2" s="265" t="s">
        <v>58</v>
      </c>
      <c r="W2" s="266"/>
      <c r="Y2" s="72" t="s">
        <v>61</v>
      </c>
      <c r="Z2" s="72" t="s">
        <v>63</v>
      </c>
      <c r="AA2" s="72" t="s">
        <v>64</v>
      </c>
    </row>
    <row r="3" spans="2:27" hidden="1" x14ac:dyDescent="0.35">
      <c r="B3" s="66" t="s">
        <v>23</v>
      </c>
      <c r="C3" s="45" t="s">
        <v>28</v>
      </c>
      <c r="D3" s="92">
        <v>0.8</v>
      </c>
      <c r="E3" s="15" t="s">
        <v>29</v>
      </c>
      <c r="F3" s="15"/>
      <c r="G3" s="15"/>
      <c r="H3" s="15"/>
      <c r="I3" s="15"/>
      <c r="J3" s="15"/>
      <c r="K3" s="15"/>
      <c r="L3" s="15"/>
      <c r="M3" s="16"/>
      <c r="N3" s="15"/>
      <c r="O3" s="15"/>
      <c r="P3" s="15"/>
      <c r="Q3" s="15"/>
      <c r="R3" s="15"/>
      <c r="S3" s="15"/>
      <c r="T3" s="15"/>
      <c r="U3" s="64"/>
      <c r="V3" s="82" t="s">
        <v>46</v>
      </c>
      <c r="W3" s="82">
        <f>VLOOKUP(C5, Y3:AA7,3, )</f>
        <v>1840</v>
      </c>
      <c r="X3" s="1"/>
      <c r="Y3" s="70" t="s">
        <v>71</v>
      </c>
      <c r="Z3" s="71">
        <v>1022</v>
      </c>
      <c r="AA3" s="71">
        <v>1969</v>
      </c>
    </row>
    <row r="4" spans="2:27" hidden="1" x14ac:dyDescent="0.35">
      <c r="B4" s="66" t="s">
        <v>24</v>
      </c>
      <c r="C4" s="45" t="s">
        <v>21</v>
      </c>
      <c r="D4" s="91"/>
      <c r="E4" s="15" t="s">
        <v>38</v>
      </c>
      <c r="F4" s="15"/>
      <c r="G4" s="15"/>
      <c r="H4" s="15"/>
      <c r="I4" s="15"/>
      <c r="J4" s="15"/>
      <c r="K4" s="15"/>
      <c r="L4" s="15"/>
      <c r="M4" s="16"/>
      <c r="N4" s="15"/>
      <c r="O4" s="15"/>
      <c r="P4" s="15"/>
      <c r="Q4" s="15"/>
      <c r="R4" s="15"/>
      <c r="S4" s="15"/>
      <c r="T4" s="15"/>
      <c r="U4" s="64"/>
      <c r="V4" s="82" t="s">
        <v>45</v>
      </c>
      <c r="W4" s="82">
        <v>33000</v>
      </c>
      <c r="Y4" s="58" t="s">
        <v>72</v>
      </c>
      <c r="Z4" s="69">
        <v>976</v>
      </c>
      <c r="AA4" s="69">
        <v>1840</v>
      </c>
    </row>
    <row r="5" spans="2:27" hidden="1" x14ac:dyDescent="0.35">
      <c r="B5" s="66" t="s">
        <v>57</v>
      </c>
      <c r="C5" s="59" t="s">
        <v>72</v>
      </c>
      <c r="D5" s="45"/>
      <c r="E5" s="15"/>
      <c r="F5" s="15"/>
      <c r="G5" s="15"/>
      <c r="H5" s="15"/>
      <c r="I5" s="15"/>
      <c r="J5" s="15"/>
      <c r="K5" s="15"/>
      <c r="L5" s="15"/>
      <c r="M5" s="16"/>
      <c r="N5" s="15"/>
      <c r="O5" s="15"/>
      <c r="P5" s="15"/>
      <c r="Q5" s="15"/>
      <c r="R5" s="15"/>
      <c r="S5" s="15"/>
      <c r="T5" s="15"/>
      <c r="U5" s="64"/>
      <c r="V5" s="82" t="s">
        <v>47</v>
      </c>
      <c r="W5" s="82">
        <f>D6</f>
        <v>13.3</v>
      </c>
      <c r="Y5" s="58" t="s">
        <v>70</v>
      </c>
      <c r="Z5" s="69">
        <v>836</v>
      </c>
      <c r="AA5" s="69">
        <v>1754</v>
      </c>
    </row>
    <row r="6" spans="2:27" hidden="1" x14ac:dyDescent="0.35">
      <c r="B6" s="66" t="s">
        <v>25</v>
      </c>
      <c r="C6" s="15" t="s">
        <v>27</v>
      </c>
      <c r="D6" s="86">
        <v>13.3</v>
      </c>
      <c r="E6" s="15" t="s">
        <v>50</v>
      </c>
      <c r="F6" s="15"/>
      <c r="G6" s="15"/>
      <c r="H6" s="15"/>
      <c r="I6" s="15"/>
      <c r="J6" s="15"/>
      <c r="K6" s="15"/>
      <c r="L6" s="15"/>
      <c r="M6" s="16"/>
      <c r="N6" s="15"/>
      <c r="O6" s="15"/>
      <c r="P6" s="15"/>
      <c r="Q6" s="15"/>
      <c r="R6" s="15"/>
      <c r="S6" s="15"/>
      <c r="T6" s="15"/>
      <c r="U6" s="64"/>
      <c r="V6" s="82" t="s">
        <v>48</v>
      </c>
      <c r="W6" s="82">
        <v>1</v>
      </c>
      <c r="Y6" s="58" t="s">
        <v>69</v>
      </c>
      <c r="Z6" s="69">
        <v>645</v>
      </c>
      <c r="AA6" s="69">
        <v>1266</v>
      </c>
    </row>
    <row r="7" spans="2:27" hidden="1" x14ac:dyDescent="0.35">
      <c r="B7" s="66" t="s">
        <v>26</v>
      </c>
      <c r="C7" s="15" t="s">
        <v>27</v>
      </c>
      <c r="D7" s="86">
        <v>20.5</v>
      </c>
      <c r="E7" s="15" t="s">
        <v>38</v>
      </c>
      <c r="F7" s="15"/>
      <c r="G7" s="15"/>
      <c r="H7" s="15"/>
      <c r="I7" s="15"/>
      <c r="J7" s="15"/>
      <c r="K7" s="15"/>
      <c r="L7" s="15"/>
      <c r="M7" s="16"/>
      <c r="N7" s="15"/>
      <c r="O7" s="15"/>
      <c r="P7" s="15"/>
      <c r="Q7" s="15"/>
      <c r="R7" s="15"/>
      <c r="S7" s="15"/>
      <c r="T7" s="15"/>
      <c r="U7" s="64"/>
      <c r="V7" s="82" t="s">
        <v>60</v>
      </c>
      <c r="W7" s="82">
        <v>10000</v>
      </c>
      <c r="Y7" s="58" t="s">
        <v>68</v>
      </c>
      <c r="Z7" s="69">
        <v>656</v>
      </c>
      <c r="AA7" s="69">
        <v>1288</v>
      </c>
    </row>
    <row r="8" spans="2:27" hidden="1" x14ac:dyDescent="0.35">
      <c r="B8" s="66"/>
      <c r="C8" s="45"/>
      <c r="D8" s="15"/>
      <c r="E8" s="15"/>
      <c r="F8" s="15"/>
      <c r="G8" s="15"/>
      <c r="H8" s="15"/>
      <c r="I8" s="15"/>
      <c r="J8" s="15"/>
      <c r="K8" s="15"/>
      <c r="L8" s="15"/>
      <c r="M8" s="16"/>
      <c r="N8" s="15"/>
      <c r="O8" s="15"/>
      <c r="P8" s="15"/>
      <c r="Q8" s="15"/>
      <c r="R8" s="15"/>
      <c r="S8" s="15"/>
      <c r="T8" s="15"/>
      <c r="U8" s="64"/>
      <c r="V8" s="82" t="s">
        <v>49</v>
      </c>
      <c r="W8" s="83">
        <f>((W3*W4*(1/(W5*W6*(1-0))))/1000)*W7/1000000</f>
        <v>45.654135338345853</v>
      </c>
    </row>
    <row r="9" spans="2:27" ht="14.25" hidden="1" customHeight="1" thickBot="1" x14ac:dyDescent="0.4">
      <c r="B9" s="275" t="s">
        <v>30</v>
      </c>
      <c r="C9" s="276" t="s">
        <v>31</v>
      </c>
      <c r="D9" s="276"/>
      <c r="E9" s="277" t="s">
        <v>32</v>
      </c>
      <c r="F9" s="269" t="s">
        <v>33</v>
      </c>
      <c r="G9" s="269"/>
      <c r="H9" s="277" t="s">
        <v>12</v>
      </c>
      <c r="I9" s="267" t="s">
        <v>34</v>
      </c>
      <c r="J9" s="267"/>
      <c r="K9" s="268" t="s">
        <v>12</v>
      </c>
      <c r="L9" s="269" t="s">
        <v>35</v>
      </c>
      <c r="M9" s="270"/>
      <c r="N9" s="188"/>
      <c r="O9" s="188"/>
      <c r="P9" s="188"/>
      <c r="Q9" s="188"/>
      <c r="R9" s="188"/>
      <c r="S9" s="188"/>
      <c r="T9" s="188"/>
      <c r="U9" s="64"/>
      <c r="V9" s="82" t="s">
        <v>73</v>
      </c>
      <c r="W9" s="82">
        <f>VLOOKUP(C5,Y3:AA7,2)</f>
        <v>976</v>
      </c>
      <c r="Y9" s="72" t="s">
        <v>65</v>
      </c>
      <c r="Z9" s="72" t="s">
        <v>66</v>
      </c>
    </row>
    <row r="10" spans="2:27" ht="14.25" hidden="1" customHeight="1" x14ac:dyDescent="0.35">
      <c r="B10" s="275"/>
      <c r="C10" s="276"/>
      <c r="D10" s="276"/>
      <c r="E10" s="277"/>
      <c r="F10" s="269"/>
      <c r="G10" s="269"/>
      <c r="H10" s="277"/>
      <c r="I10" s="267"/>
      <c r="J10" s="267"/>
      <c r="K10" s="268"/>
      <c r="L10" s="269"/>
      <c r="M10" s="270"/>
      <c r="N10" s="188"/>
      <c r="O10" s="188"/>
      <c r="P10" s="188"/>
      <c r="Q10" s="188"/>
      <c r="R10" s="188"/>
      <c r="S10" s="188"/>
      <c r="T10" s="188"/>
      <c r="U10" s="64"/>
      <c r="V10" s="82" t="s">
        <v>29</v>
      </c>
      <c r="W10" s="84">
        <f>D3</f>
        <v>0.8</v>
      </c>
      <c r="X10" s="1"/>
      <c r="Y10" s="70" t="s">
        <v>71</v>
      </c>
      <c r="Z10" s="71">
        <v>512</v>
      </c>
    </row>
    <row r="11" spans="2:27" hidden="1" x14ac:dyDescent="0.35">
      <c r="B11" s="66"/>
      <c r="C11" s="45"/>
      <c r="D11" s="15"/>
      <c r="E11" s="15"/>
      <c r="F11" s="15"/>
      <c r="G11" s="15"/>
      <c r="H11" s="15"/>
      <c r="I11" s="15"/>
      <c r="J11" s="15"/>
      <c r="K11" s="15"/>
      <c r="L11" s="15"/>
      <c r="M11" s="16"/>
      <c r="N11" s="15"/>
      <c r="O11" s="15"/>
      <c r="P11" s="15"/>
      <c r="Q11" s="15"/>
      <c r="R11" s="15"/>
      <c r="S11" s="15"/>
      <c r="T11" s="15"/>
      <c r="U11" s="64"/>
      <c r="V11" s="82" t="s">
        <v>51</v>
      </c>
      <c r="W11" s="82">
        <f>((W9*W4*1/W10)/1000000)</f>
        <v>40.26</v>
      </c>
      <c r="Y11" s="58" t="s">
        <v>72</v>
      </c>
      <c r="Z11" s="69">
        <v>570</v>
      </c>
    </row>
    <row r="12" spans="2:27" hidden="1" x14ac:dyDescent="0.35">
      <c r="B12" s="66" t="s">
        <v>30</v>
      </c>
      <c r="C12" s="78">
        <f>W11</f>
        <v>40.26</v>
      </c>
      <c r="D12" s="47" t="s">
        <v>36</v>
      </c>
      <c r="E12" s="45" t="s">
        <v>32</v>
      </c>
      <c r="F12" s="48">
        <f>W16</f>
        <v>0</v>
      </c>
      <c r="G12" s="48" t="s">
        <v>36</v>
      </c>
      <c r="H12" s="45" t="s">
        <v>12</v>
      </c>
      <c r="I12" s="80">
        <f>W8</f>
        <v>45.654135338345853</v>
      </c>
      <c r="J12" s="48" t="s">
        <v>36</v>
      </c>
      <c r="K12" s="45" t="s">
        <v>12</v>
      </c>
      <c r="L12" s="80">
        <f>W17</f>
        <v>9.6760975609756095</v>
      </c>
      <c r="M12" s="49" t="s">
        <v>36</v>
      </c>
      <c r="N12" s="48"/>
      <c r="O12" s="48"/>
      <c r="P12" s="48"/>
      <c r="Q12" s="48"/>
      <c r="R12" s="48"/>
      <c r="S12" s="48"/>
      <c r="T12" s="48"/>
      <c r="U12" s="64"/>
      <c r="V12" s="82" t="s">
        <v>52</v>
      </c>
      <c r="W12" s="82">
        <v>34800</v>
      </c>
      <c r="Y12" s="58" t="s">
        <v>70</v>
      </c>
      <c r="Z12" s="69">
        <v>730</v>
      </c>
    </row>
    <row r="13" spans="2:27" hidden="1" x14ac:dyDescent="0.35">
      <c r="B13" s="66"/>
      <c r="C13" s="45"/>
      <c r="D13" s="15"/>
      <c r="E13" s="15"/>
      <c r="F13" s="15"/>
      <c r="G13" s="15"/>
      <c r="H13" s="15"/>
      <c r="I13" s="15"/>
      <c r="J13" s="15"/>
      <c r="K13" s="15"/>
      <c r="L13" s="15"/>
      <c r="M13" s="16"/>
      <c r="N13" s="15"/>
      <c r="O13" s="15"/>
      <c r="P13" s="15"/>
      <c r="Q13" s="15"/>
      <c r="R13" s="15"/>
      <c r="S13" s="15"/>
      <c r="T13" s="15"/>
      <c r="U13" s="64"/>
      <c r="V13" s="82" t="s">
        <v>74</v>
      </c>
      <c r="W13" s="85">
        <f>VLOOKUP(C5,Y10:Z14,2)</f>
        <v>570</v>
      </c>
      <c r="Y13" s="58" t="s">
        <v>69</v>
      </c>
      <c r="Z13" s="69">
        <v>1035</v>
      </c>
    </row>
    <row r="14" spans="2:27" ht="15" hidden="1" thickBot="1" x14ac:dyDescent="0.4">
      <c r="B14" s="77" t="s">
        <v>30</v>
      </c>
      <c r="C14" s="81">
        <f>C12+F12-I12-L12</f>
        <v>-15.070232899321464</v>
      </c>
      <c r="D14" s="54" t="s">
        <v>36</v>
      </c>
      <c r="E14" s="15"/>
      <c r="F14" s="15"/>
      <c r="G14" s="15"/>
      <c r="H14" s="15"/>
      <c r="I14" s="15"/>
      <c r="J14" s="15"/>
      <c r="K14" s="15"/>
      <c r="L14" s="15"/>
      <c r="M14" s="16"/>
      <c r="N14" s="15"/>
      <c r="O14" s="15"/>
      <c r="P14" s="15"/>
      <c r="Q14" s="15"/>
      <c r="R14" s="15"/>
      <c r="S14" s="15"/>
      <c r="T14" s="15"/>
      <c r="U14" s="64"/>
      <c r="V14" s="82" t="s">
        <v>53</v>
      </c>
      <c r="W14" s="82">
        <f>D4</f>
        <v>0</v>
      </c>
      <c r="Y14" s="58" t="s">
        <v>68</v>
      </c>
      <c r="Z14" s="69">
        <v>903</v>
      </c>
    </row>
    <row r="15" spans="2:27" hidden="1" x14ac:dyDescent="0.35">
      <c r="B15" s="66"/>
      <c r="C15" s="45"/>
      <c r="D15" s="15"/>
      <c r="E15" s="15"/>
      <c r="F15" s="15"/>
      <c r="G15" s="15"/>
      <c r="H15" s="15"/>
      <c r="I15" s="15"/>
      <c r="J15" s="15"/>
      <c r="K15" s="15"/>
      <c r="L15" s="15"/>
      <c r="M15" s="16"/>
      <c r="N15" s="15"/>
      <c r="O15" s="15"/>
      <c r="P15" s="15"/>
      <c r="Q15" s="15"/>
      <c r="R15" s="15"/>
      <c r="S15" s="15"/>
      <c r="T15" s="15"/>
      <c r="U15" s="64"/>
      <c r="V15" s="82" t="s">
        <v>54</v>
      </c>
      <c r="W15" s="82">
        <f>D7</f>
        <v>20.5</v>
      </c>
    </row>
    <row r="16" spans="2:27" ht="14.25" hidden="1" customHeight="1" x14ac:dyDescent="0.35">
      <c r="B16" s="67" t="s">
        <v>37</v>
      </c>
      <c r="C16" s="273" t="s">
        <v>41</v>
      </c>
      <c r="D16" s="273"/>
      <c r="E16" s="273"/>
      <c r="F16" s="273"/>
      <c r="G16" s="273"/>
      <c r="H16" s="273"/>
      <c r="I16" s="273"/>
      <c r="J16" s="273"/>
      <c r="K16" s="273"/>
      <c r="L16" s="273"/>
      <c r="M16" s="291"/>
      <c r="N16" s="186"/>
      <c r="O16" s="186"/>
      <c r="P16" s="186"/>
      <c r="Q16" s="186"/>
      <c r="R16" s="186"/>
      <c r="S16" s="186"/>
      <c r="T16" s="186"/>
      <c r="U16" s="64"/>
      <c r="V16" s="82" t="s">
        <v>55</v>
      </c>
      <c r="W16" s="82">
        <f>IF(W14=0,0, (W13*W12*(1/W14)/1000)*W7/1000000)</f>
        <v>0</v>
      </c>
    </row>
    <row r="17" spans="2:32" hidden="1" x14ac:dyDescent="0.35">
      <c r="B17" s="68"/>
      <c r="C17" s="274"/>
      <c r="D17" s="274"/>
      <c r="E17" s="274"/>
      <c r="F17" s="274"/>
      <c r="G17" s="274"/>
      <c r="H17" s="274"/>
      <c r="I17" s="274"/>
      <c r="J17" s="274"/>
      <c r="K17" s="274"/>
      <c r="L17" s="274"/>
      <c r="M17" s="292"/>
      <c r="N17" s="187"/>
      <c r="O17" s="187"/>
      <c r="P17" s="187"/>
      <c r="Q17" s="187"/>
      <c r="R17" s="187"/>
      <c r="S17" s="187"/>
      <c r="T17" s="187"/>
      <c r="U17" s="65"/>
      <c r="V17" s="82" t="s">
        <v>56</v>
      </c>
      <c r="W17" s="83">
        <f>(W13*W12*(1/W15)/1000)*W7/1000000</f>
        <v>9.6760975609756095</v>
      </c>
    </row>
    <row r="18" spans="2:32" hidden="1" x14ac:dyDescent="0.35"/>
    <row r="19" spans="2:32" ht="7.5" customHeight="1" x14ac:dyDescent="0.35"/>
    <row r="20" spans="2:32" ht="18.5" x14ac:dyDescent="0.45">
      <c r="B20" s="76" t="s">
        <v>125</v>
      </c>
      <c r="C20" s="50"/>
      <c r="D20" s="51"/>
      <c r="E20" s="51"/>
      <c r="F20" s="51"/>
      <c r="G20" s="51"/>
      <c r="H20" s="51"/>
      <c r="I20" s="51"/>
      <c r="J20" s="51"/>
      <c r="K20" s="51"/>
      <c r="L20" s="51"/>
      <c r="M20" s="51"/>
      <c r="N20" s="51"/>
      <c r="O20" s="51"/>
      <c r="P20" s="51"/>
      <c r="Q20" s="51"/>
      <c r="R20" s="52"/>
      <c r="S20" s="228"/>
      <c r="T20" s="51"/>
      <c r="U20" s="62"/>
      <c r="V20" s="62"/>
      <c r="W20" s="63"/>
    </row>
    <row r="21" spans="2:32" ht="8.15" customHeight="1" thickBot="1" x14ac:dyDescent="0.4">
      <c r="B21" s="66"/>
      <c r="C21" s="45"/>
      <c r="D21" s="15"/>
      <c r="E21" s="15"/>
      <c r="F21" s="15"/>
      <c r="G21" s="15"/>
      <c r="H21" s="15"/>
      <c r="I21" s="15"/>
      <c r="J21" s="15"/>
      <c r="K21" s="15"/>
      <c r="L21" s="15"/>
      <c r="M21" s="15"/>
      <c r="N21" s="15"/>
      <c r="O21" s="15"/>
      <c r="P21" s="15"/>
      <c r="Q21" s="15"/>
      <c r="R21" s="16"/>
      <c r="S21" s="15"/>
      <c r="T21" s="15"/>
      <c r="U21" s="64"/>
      <c r="V21" s="265" t="s">
        <v>58</v>
      </c>
      <c r="W21" s="266"/>
    </row>
    <row r="22" spans="2:32" ht="13.65" customHeight="1" thickBot="1" x14ac:dyDescent="0.4">
      <c r="B22" s="66" t="s">
        <v>23</v>
      </c>
      <c r="C22" s="45" t="s">
        <v>28</v>
      </c>
      <c r="D22" s="107">
        <v>0.8</v>
      </c>
      <c r="E22" s="15" t="s">
        <v>29</v>
      </c>
      <c r="F22" s="45" t="s">
        <v>43</v>
      </c>
      <c r="G22" s="260" t="s">
        <v>42</v>
      </c>
      <c r="H22" s="261"/>
      <c r="I22" s="262" t="s">
        <v>44</v>
      </c>
      <c r="J22" s="263"/>
      <c r="K22" s="60" t="s">
        <v>67</v>
      </c>
      <c r="L22" s="15"/>
      <c r="M22" s="15"/>
      <c r="N22" s="4" t="s">
        <v>6</v>
      </c>
      <c r="O22" s="163">
        <v>3412</v>
      </c>
      <c r="P22" s="6" t="s">
        <v>7</v>
      </c>
      <c r="Q22" s="15"/>
      <c r="R22" s="16"/>
      <c r="S22" s="15"/>
      <c r="T22" s="15"/>
      <c r="U22" s="64"/>
      <c r="V22" s="82" t="s">
        <v>46</v>
      </c>
      <c r="W22" s="82">
        <f>VLOOKUP(C24,'Screening Criteria-95AFUE'!S10:U14,3)</f>
        <v>1288</v>
      </c>
      <c r="Y22" s="293"/>
      <c r="Z22" s="293"/>
      <c r="AA22" s="190" t="s">
        <v>103</v>
      </c>
      <c r="AB22" s="190" t="s">
        <v>104</v>
      </c>
      <c r="AC22" s="294" t="s">
        <v>110</v>
      </c>
      <c r="AD22" s="294"/>
      <c r="AE22" s="190" t="s">
        <v>109</v>
      </c>
      <c r="AF22" s="119"/>
    </row>
    <row r="23" spans="2:32" ht="13.65" customHeight="1" x14ac:dyDescent="0.35">
      <c r="B23" s="66" t="s">
        <v>24</v>
      </c>
      <c r="C23" s="45" t="s">
        <v>22</v>
      </c>
      <c r="D23" s="97">
        <v>13</v>
      </c>
      <c r="E23" s="15" t="s">
        <v>38</v>
      </c>
      <c r="F23" s="15"/>
      <c r="G23" s="15"/>
      <c r="H23" s="15"/>
      <c r="I23" s="15"/>
      <c r="J23" s="15"/>
      <c r="K23" s="15"/>
      <c r="L23" s="15"/>
      <c r="M23" s="15"/>
      <c r="N23" s="37" t="s">
        <v>143</v>
      </c>
      <c r="O23" s="165">
        <v>29.3</v>
      </c>
      <c r="P23" s="38" t="s">
        <v>17</v>
      </c>
      <c r="Q23" s="15"/>
      <c r="R23" s="16"/>
      <c r="S23" s="15"/>
      <c r="T23" s="15"/>
      <c r="U23" s="64"/>
      <c r="V23" s="82" t="s">
        <v>45</v>
      </c>
      <c r="W23" s="82">
        <v>33000</v>
      </c>
      <c r="Y23" s="122" t="s">
        <v>100</v>
      </c>
      <c r="Z23" s="124" t="s">
        <v>102</v>
      </c>
      <c r="AA23" s="121" t="s">
        <v>105</v>
      </c>
      <c r="AB23" s="121" t="s">
        <v>108</v>
      </c>
      <c r="AC23" s="290" t="e">
        <f>#REF!*C32</f>
        <v>#REF!</v>
      </c>
      <c r="AD23" s="290"/>
      <c r="AE23" s="120" t="e">
        <f>#REF!*F32</f>
        <v>#REF!</v>
      </c>
    </row>
    <row r="24" spans="2:32" ht="15" customHeight="1" x14ac:dyDescent="0.35">
      <c r="B24" s="66" t="s">
        <v>57</v>
      </c>
      <c r="C24" s="61" t="s">
        <v>68</v>
      </c>
      <c r="D24" s="89"/>
      <c r="E24" s="15"/>
      <c r="F24" s="15"/>
      <c r="G24" s="178" t="s">
        <v>115</v>
      </c>
      <c r="H24" s="183">
        <f>IF(OR(C24=AA33,C24=AA34),Background!D9,Background!D10)</f>
        <v>10474.84</v>
      </c>
      <c r="I24" s="15" t="s">
        <v>8</v>
      </c>
      <c r="J24" s="15"/>
      <c r="K24" s="15"/>
      <c r="L24" s="15"/>
      <c r="M24" s="15"/>
      <c r="N24" s="37" t="s">
        <v>138</v>
      </c>
      <c r="O24" s="164">
        <v>293</v>
      </c>
      <c r="P24" s="38" t="s">
        <v>17</v>
      </c>
      <c r="Q24" s="15"/>
      <c r="R24" s="16"/>
      <c r="S24" s="15"/>
      <c r="T24" s="15"/>
      <c r="U24" s="64"/>
      <c r="V24" s="82" t="s">
        <v>47</v>
      </c>
      <c r="W24" s="82">
        <f>D25</f>
        <v>9</v>
      </c>
      <c r="Y24" s="122" t="s">
        <v>101</v>
      </c>
      <c r="Z24" s="124" t="s">
        <v>114</v>
      </c>
      <c r="AA24" s="121" t="s">
        <v>106</v>
      </c>
      <c r="AB24" s="121" t="s">
        <v>107</v>
      </c>
      <c r="AC24" s="290" t="e">
        <f>#REF!*I32</f>
        <v>#REF!</v>
      </c>
      <c r="AD24" s="290"/>
      <c r="AE24" s="120" t="e">
        <f>#REF!*L32</f>
        <v>#REF!</v>
      </c>
    </row>
    <row r="25" spans="2:32" ht="13.65" customHeight="1" thickBot="1" x14ac:dyDescent="0.4">
      <c r="B25" s="66" t="s">
        <v>25</v>
      </c>
      <c r="C25" s="15" t="s">
        <v>27</v>
      </c>
      <c r="D25" s="97">
        <v>9</v>
      </c>
      <c r="E25" s="15" t="s">
        <v>50</v>
      </c>
      <c r="F25" s="15"/>
      <c r="G25" s="15"/>
      <c r="H25" s="15"/>
      <c r="I25" s="15"/>
      <c r="J25" s="15"/>
      <c r="K25" s="15"/>
      <c r="L25" s="15"/>
      <c r="M25" s="15"/>
      <c r="N25" s="8" t="s">
        <v>119</v>
      </c>
      <c r="O25" s="40">
        <v>10</v>
      </c>
      <c r="P25" s="9" t="s">
        <v>117</v>
      </c>
      <c r="Q25" s="15"/>
      <c r="R25" s="16"/>
      <c r="S25" s="15"/>
      <c r="T25" s="15"/>
      <c r="U25" s="64"/>
      <c r="V25" s="82" t="s">
        <v>48</v>
      </c>
      <c r="W25" s="82">
        <v>1.0109999999999999</v>
      </c>
      <c r="Y25" s="295" t="s">
        <v>120</v>
      </c>
      <c r="Z25" s="295"/>
      <c r="AA25" s="297" t="s">
        <v>111</v>
      </c>
      <c r="AB25" s="297"/>
      <c r="AC25" s="298" t="e">
        <f>AC23-AC24</f>
        <v>#REF!</v>
      </c>
      <c r="AD25" s="299"/>
      <c r="AE25" s="123"/>
    </row>
    <row r="26" spans="2:32" ht="15.65" customHeight="1" thickBot="1" x14ac:dyDescent="0.4">
      <c r="B26" s="66" t="s">
        <v>26</v>
      </c>
      <c r="C26" s="15" t="s">
        <v>27</v>
      </c>
      <c r="D26" s="97">
        <v>15</v>
      </c>
      <c r="E26" s="11" t="s">
        <v>38</v>
      </c>
      <c r="F26" s="15"/>
      <c r="G26" s="15"/>
      <c r="H26" s="15"/>
      <c r="I26" s="15"/>
      <c r="J26" s="15"/>
      <c r="K26" s="15"/>
      <c r="L26" s="15"/>
      <c r="M26" s="15"/>
      <c r="N26" s="15"/>
      <c r="O26" s="15"/>
      <c r="P26" s="15"/>
      <c r="Q26" s="15"/>
      <c r="R26" s="16"/>
      <c r="S26" s="15"/>
      <c r="T26" s="15"/>
      <c r="U26" s="64"/>
      <c r="V26" s="82" t="s">
        <v>60</v>
      </c>
      <c r="W26" s="82">
        <f>H24</f>
        <v>10474.84</v>
      </c>
      <c r="Y26" s="295"/>
      <c r="Z26" s="295"/>
      <c r="AA26" s="294" t="s">
        <v>112</v>
      </c>
      <c r="AB26" s="294"/>
      <c r="AC26" s="300"/>
      <c r="AD26" s="301"/>
      <c r="AE26" s="125" t="e">
        <f>AE23-AE24</f>
        <v>#REF!</v>
      </c>
    </row>
    <row r="27" spans="2:32" ht="6.75" customHeight="1" thickBot="1" x14ac:dyDescent="0.4">
      <c r="B27" s="66"/>
      <c r="C27" s="45"/>
      <c r="D27" s="15"/>
      <c r="E27" s="15"/>
      <c r="F27" s="15"/>
      <c r="G27" s="15"/>
      <c r="H27" s="15"/>
      <c r="I27" s="15"/>
      <c r="J27" s="15"/>
      <c r="K27" s="15"/>
      <c r="L27" s="15"/>
      <c r="M27" s="15"/>
      <c r="N27" s="15"/>
      <c r="O27" s="15"/>
      <c r="P27" s="15"/>
      <c r="Q27" s="15"/>
      <c r="R27" s="16"/>
      <c r="S27" s="15"/>
      <c r="T27" s="15"/>
      <c r="U27" s="64"/>
      <c r="V27" s="82" t="s">
        <v>129</v>
      </c>
      <c r="W27" s="83">
        <f>((W22*W23*(1/(W24*W25*(1-0))))/1000)*W26/1000000</f>
        <v>48.930937395318182</v>
      </c>
      <c r="X27" t="s">
        <v>36</v>
      </c>
      <c r="Y27" s="295"/>
      <c r="Z27" s="296"/>
      <c r="AA27" s="302" t="s">
        <v>113</v>
      </c>
      <c r="AB27" s="303"/>
      <c r="AC27" s="304" t="e">
        <f>AC25+AE26</f>
        <v>#REF!</v>
      </c>
      <c r="AD27" s="305"/>
      <c r="AE27" s="21"/>
    </row>
    <row r="28" spans="2:32" x14ac:dyDescent="0.35">
      <c r="B28" s="275" t="s">
        <v>165</v>
      </c>
      <c r="C28" s="306" t="s">
        <v>31</v>
      </c>
      <c r="D28" s="307"/>
      <c r="E28" s="277" t="s">
        <v>32</v>
      </c>
      <c r="F28" s="310" t="s">
        <v>33</v>
      </c>
      <c r="G28" s="311"/>
      <c r="H28" s="277" t="s">
        <v>12</v>
      </c>
      <c r="I28" s="315" t="s">
        <v>34</v>
      </c>
      <c r="J28" s="316"/>
      <c r="K28" s="268" t="s">
        <v>12</v>
      </c>
      <c r="L28" s="310" t="s">
        <v>35</v>
      </c>
      <c r="M28" s="311"/>
      <c r="N28" s="200"/>
      <c r="O28" s="200"/>
      <c r="P28" s="200"/>
      <c r="Q28" s="200"/>
      <c r="R28" s="207"/>
      <c r="S28" s="200"/>
      <c r="T28" s="200"/>
      <c r="U28" s="64"/>
      <c r="V28" s="82" t="s">
        <v>144</v>
      </c>
      <c r="W28" s="83">
        <f>((W22*W23*(1/(W24*W25*(1-0))))/1000)</f>
        <v>4671.2825585229157</v>
      </c>
      <c r="X28" t="s">
        <v>17</v>
      </c>
      <c r="Y28" s="167"/>
    </row>
    <row r="29" spans="2:32" x14ac:dyDescent="0.35">
      <c r="B29" s="275"/>
      <c r="C29" s="308"/>
      <c r="D29" s="309"/>
      <c r="E29" s="277"/>
      <c r="F29" s="312"/>
      <c r="G29" s="313"/>
      <c r="H29" s="277"/>
      <c r="I29" s="317"/>
      <c r="J29" s="318"/>
      <c r="K29" s="268"/>
      <c r="L29" s="312"/>
      <c r="M29" s="313"/>
      <c r="N29" s="200"/>
      <c r="O29" s="200"/>
      <c r="P29" s="200"/>
      <c r="Q29" s="200"/>
      <c r="R29" s="207"/>
      <c r="S29" s="200"/>
      <c r="T29" s="200"/>
      <c r="U29" s="64"/>
      <c r="V29" s="150" t="s">
        <v>122</v>
      </c>
      <c r="W29" s="82">
        <f>W22*W23/1000000</f>
        <v>42.503999999999998</v>
      </c>
      <c r="X29" t="s">
        <v>124</v>
      </c>
    </row>
    <row r="30" spans="2:32" x14ac:dyDescent="0.35">
      <c r="B30" s="66"/>
      <c r="C30" s="314" t="s">
        <v>84</v>
      </c>
      <c r="D30" s="314"/>
      <c r="E30" s="45" t="s">
        <v>32</v>
      </c>
      <c r="F30" s="314" t="s">
        <v>85</v>
      </c>
      <c r="G30" s="314"/>
      <c r="H30" s="45" t="s">
        <v>12</v>
      </c>
      <c r="I30" s="314" t="s">
        <v>86</v>
      </c>
      <c r="J30" s="314"/>
      <c r="K30" s="89" t="s">
        <v>12</v>
      </c>
      <c r="L30" s="314" t="s">
        <v>87</v>
      </c>
      <c r="M30" s="314"/>
      <c r="N30" s="201"/>
      <c r="O30" s="201"/>
      <c r="P30" s="201"/>
      <c r="Q30" s="201"/>
      <c r="R30" s="208"/>
      <c r="S30" s="201"/>
      <c r="T30" s="201"/>
      <c r="U30" s="64"/>
      <c r="V30" s="82" t="s">
        <v>29</v>
      </c>
      <c r="W30" s="84">
        <f>D22</f>
        <v>0.8</v>
      </c>
    </row>
    <row r="31" spans="2:32" x14ac:dyDescent="0.35">
      <c r="B31" s="66" t="s">
        <v>92</v>
      </c>
      <c r="C31" s="214">
        <f>W31*1.01</f>
        <v>53.661299999999997</v>
      </c>
      <c r="D31" s="215" t="s">
        <v>36</v>
      </c>
      <c r="E31" s="45" t="s">
        <v>32</v>
      </c>
      <c r="F31" s="218">
        <f>W42</f>
        <v>28.133808726153845</v>
      </c>
      <c r="G31" s="215" t="s">
        <v>36</v>
      </c>
      <c r="H31" s="45" t="s">
        <v>12</v>
      </c>
      <c r="I31" s="220">
        <f>W27</f>
        <v>48.930937395318182</v>
      </c>
      <c r="J31" s="215" t="s">
        <v>36</v>
      </c>
      <c r="K31" s="45" t="s">
        <v>12</v>
      </c>
      <c r="L31" s="218">
        <f>AC44</f>
        <v>21.944370806400002</v>
      </c>
      <c r="M31" s="215" t="s">
        <v>36</v>
      </c>
      <c r="N31" s="184" t="s">
        <v>50</v>
      </c>
      <c r="O31" s="184" t="s">
        <v>38</v>
      </c>
      <c r="P31" s="232" t="s">
        <v>182</v>
      </c>
      <c r="Q31" s="173"/>
      <c r="R31" s="175"/>
      <c r="S31" s="173"/>
      <c r="T31" s="173"/>
      <c r="U31" s="64"/>
      <c r="V31" s="82" t="s">
        <v>141</v>
      </c>
      <c r="W31" s="82">
        <f>W29/W30</f>
        <v>53.129999999999995</v>
      </c>
      <c r="X31" t="s">
        <v>124</v>
      </c>
      <c r="AA31" s="264" t="s">
        <v>62</v>
      </c>
      <c r="AB31" s="264"/>
      <c r="AC31" s="264"/>
    </row>
    <row r="32" spans="2:32" ht="17" customHeight="1" thickBot="1" x14ac:dyDescent="0.4">
      <c r="B32" s="66" t="s">
        <v>93</v>
      </c>
      <c r="C32" s="216">
        <f>W31</f>
        <v>53.129999999999995</v>
      </c>
      <c r="D32" s="217" t="s">
        <v>36</v>
      </c>
      <c r="E32" s="45" t="s">
        <v>32</v>
      </c>
      <c r="F32" s="219">
        <f>W42/(W26/3412)</f>
        <v>9.1641070769230772</v>
      </c>
      <c r="G32" s="217" t="s">
        <v>36</v>
      </c>
      <c r="H32" s="89" t="s">
        <v>12</v>
      </c>
      <c r="I32" s="221">
        <f>W27/(W26/3412)</f>
        <v>15.938416089680191</v>
      </c>
      <c r="J32" s="217" t="s">
        <v>36</v>
      </c>
      <c r="K32" s="15"/>
      <c r="L32" s="222">
        <f>AC44/(W26/3412)</f>
        <v>7.1480035200000014</v>
      </c>
      <c r="M32" s="217" t="s">
        <v>36</v>
      </c>
      <c r="N32" s="15">
        <v>8.4</v>
      </c>
      <c r="O32" s="15">
        <v>14</v>
      </c>
      <c r="P32" s="15"/>
      <c r="Q32" s="11"/>
      <c r="R32" s="115"/>
      <c r="S32" s="11"/>
      <c r="T32" s="11"/>
      <c r="U32" s="64"/>
      <c r="V32" s="162" t="s">
        <v>140</v>
      </c>
      <c r="W32">
        <f>W31*O25</f>
        <v>531.29999999999995</v>
      </c>
      <c r="AA32" s="72" t="s">
        <v>61</v>
      </c>
      <c r="AB32" s="72" t="s">
        <v>63</v>
      </c>
      <c r="AC32" s="72" t="s">
        <v>64</v>
      </c>
    </row>
    <row r="33" spans="1:31" x14ac:dyDescent="0.35">
      <c r="B33" s="112"/>
      <c r="C33" s="96"/>
      <c r="D33" s="11"/>
      <c r="E33" s="89"/>
      <c r="F33" s="113"/>
      <c r="G33" s="11"/>
      <c r="H33" s="89"/>
      <c r="I33" s="114"/>
      <c r="J33" s="11"/>
      <c r="K33" s="11"/>
      <c r="L33" s="114"/>
      <c r="M33" s="11"/>
      <c r="N33" s="15">
        <v>8.8000000000000007</v>
      </c>
      <c r="O33" s="15">
        <v>15</v>
      </c>
      <c r="P33" s="15"/>
      <c r="Q33" s="11"/>
      <c r="R33" s="115"/>
      <c r="S33" s="11"/>
      <c r="T33" s="11"/>
      <c r="U33" s="64"/>
      <c r="V33" s="82" t="s">
        <v>52</v>
      </c>
      <c r="W33" s="82">
        <v>34800</v>
      </c>
      <c r="AA33" s="70" t="s">
        <v>71</v>
      </c>
      <c r="AB33" s="71">
        <v>1022</v>
      </c>
      <c r="AC33" s="71">
        <v>1969</v>
      </c>
    </row>
    <row r="34" spans="1:31" x14ac:dyDescent="0.35">
      <c r="B34" s="156" t="s">
        <v>132</v>
      </c>
      <c r="C34" s="157">
        <f>C31-I31</f>
        <v>4.7303626046818152</v>
      </c>
      <c r="D34" s="158" t="s">
        <v>36</v>
      </c>
      <c r="E34" s="89"/>
      <c r="F34" s="226" t="s">
        <v>136</v>
      </c>
      <c r="G34" s="159">
        <f>C32-I32</f>
        <v>37.191583910319807</v>
      </c>
      <c r="H34" s="160" t="s">
        <v>36</v>
      </c>
      <c r="I34" s="114"/>
      <c r="J34" s="11"/>
      <c r="K34" s="11"/>
      <c r="L34" s="114"/>
      <c r="M34" s="11"/>
      <c r="N34" s="15">
        <v>9</v>
      </c>
      <c r="O34" s="15">
        <v>16</v>
      </c>
      <c r="P34" s="15"/>
      <c r="Q34" s="11"/>
      <c r="R34" s="115"/>
      <c r="S34" s="11"/>
      <c r="T34" s="11"/>
      <c r="U34" s="64"/>
      <c r="V34" s="82" t="s">
        <v>74</v>
      </c>
      <c r="W34" s="85">
        <f>VLOOKUP(C24,'Screening Criteria-95AFUE'!S17:T23,2)</f>
        <v>903</v>
      </c>
      <c r="AA34" s="58" t="s">
        <v>72</v>
      </c>
      <c r="AB34" s="69">
        <v>976</v>
      </c>
      <c r="AC34" s="69">
        <v>1840</v>
      </c>
    </row>
    <row r="35" spans="1:31" ht="15" thickBot="1" x14ac:dyDescent="0.4">
      <c r="B35" s="156" t="s">
        <v>133</v>
      </c>
      <c r="C35" s="157">
        <f>F31-L31</f>
        <v>6.1894379197538427</v>
      </c>
      <c r="D35" s="158" t="s">
        <v>36</v>
      </c>
      <c r="E35" s="89"/>
      <c r="F35" s="226" t="s">
        <v>137</v>
      </c>
      <c r="G35" s="159">
        <f>F32-L32</f>
        <v>2.0161035569230759</v>
      </c>
      <c r="H35" s="160" t="s">
        <v>36</v>
      </c>
      <c r="I35" s="114"/>
      <c r="J35" s="11"/>
      <c r="K35" s="11"/>
      <c r="L35" s="114"/>
      <c r="M35" s="11"/>
      <c r="N35" s="15">
        <v>9.1999999999999993</v>
      </c>
      <c r="O35" s="15">
        <v>18</v>
      </c>
      <c r="P35" s="15"/>
      <c r="Q35" s="11"/>
      <c r="R35" s="115"/>
      <c r="S35" s="11"/>
      <c r="T35" s="11"/>
      <c r="U35" s="64"/>
      <c r="V35" s="82"/>
      <c r="W35" s="85"/>
      <c r="AA35" s="58" t="s">
        <v>70</v>
      </c>
      <c r="AB35" s="69">
        <v>836</v>
      </c>
      <c r="AC35" s="69">
        <v>1754</v>
      </c>
    </row>
    <row r="36" spans="1:31" ht="15" thickBot="1" x14ac:dyDescent="0.4">
      <c r="B36" s="225" t="s">
        <v>30</v>
      </c>
      <c r="C36" s="116">
        <f>C35+C34</f>
        <v>10.919800524435658</v>
      </c>
      <c r="D36" s="103" t="s">
        <v>36</v>
      </c>
      <c r="E36" s="15"/>
      <c r="F36" s="227" t="s">
        <v>39</v>
      </c>
      <c r="G36" s="151">
        <f>G35+G34</f>
        <v>39.207687467242884</v>
      </c>
      <c r="H36" s="106" t="s">
        <v>36</v>
      </c>
      <c r="I36" s="15"/>
      <c r="J36" s="15"/>
      <c r="K36" s="15"/>
      <c r="L36" s="15"/>
      <c r="M36" s="15"/>
      <c r="N36" s="15">
        <v>13</v>
      </c>
      <c r="O36" s="15">
        <v>20.5</v>
      </c>
      <c r="P36" s="15"/>
      <c r="Q36" s="15"/>
      <c r="R36" s="16"/>
      <c r="S36" s="15"/>
      <c r="T36" s="15"/>
      <c r="U36" s="64"/>
      <c r="V36" s="82"/>
      <c r="W36" s="85"/>
      <c r="AA36" s="58" t="s">
        <v>69</v>
      </c>
      <c r="AB36" s="69">
        <v>645</v>
      </c>
      <c r="AC36" s="69">
        <v>1266</v>
      </c>
    </row>
    <row r="37" spans="1:31" s="44" customFormat="1" x14ac:dyDescent="0.35">
      <c r="B37" s="209"/>
      <c r="C37" s="210"/>
      <c r="D37" s="211"/>
      <c r="E37" s="212"/>
      <c r="F37" s="212"/>
      <c r="G37" s="212"/>
      <c r="H37" s="212"/>
      <c r="I37" s="212"/>
      <c r="J37" s="212"/>
      <c r="K37" s="212"/>
      <c r="L37" s="212"/>
      <c r="M37" s="212"/>
      <c r="N37" s="212"/>
      <c r="O37" s="212"/>
      <c r="P37" s="212"/>
      <c r="Q37" s="212"/>
      <c r="R37" s="213"/>
      <c r="S37" s="11"/>
      <c r="T37" s="11"/>
      <c r="U37" s="11"/>
      <c r="V37" s="82" t="s">
        <v>53</v>
      </c>
      <c r="W37" s="82">
        <f>D23</f>
        <v>13</v>
      </c>
      <c r="X37"/>
      <c r="Y37"/>
      <c r="AA37" s="58" t="s">
        <v>68</v>
      </c>
      <c r="AB37" s="69">
        <v>656</v>
      </c>
      <c r="AC37" s="69">
        <v>1288</v>
      </c>
    </row>
    <row r="38" spans="1:31" ht="19" customHeight="1" thickBot="1" x14ac:dyDescent="0.4">
      <c r="B38" s="178"/>
      <c r="C38" s="45"/>
      <c r="D38" s="15"/>
      <c r="E38" s="15"/>
      <c r="F38" s="15"/>
      <c r="G38" s="15"/>
      <c r="H38" s="15"/>
      <c r="I38" s="15"/>
      <c r="J38" s="15"/>
      <c r="K38" s="15"/>
      <c r="L38" s="15"/>
      <c r="M38" s="15"/>
      <c r="N38" s="15"/>
      <c r="O38" s="15"/>
      <c r="P38" s="15"/>
      <c r="Q38" s="15"/>
      <c r="R38" s="15"/>
      <c r="S38" s="15"/>
      <c r="T38" s="15"/>
      <c r="U38" s="64"/>
      <c r="V38" s="161"/>
      <c r="W38" s="161"/>
      <c r="X38" s="44"/>
      <c r="Y38" s="44"/>
    </row>
    <row r="39" spans="1:31" ht="15" hidden="1" thickBot="1" x14ac:dyDescent="0.4">
      <c r="B39" s="178"/>
      <c r="C39" s="45"/>
      <c r="D39" s="15"/>
      <c r="E39" s="15"/>
      <c r="F39" s="15"/>
      <c r="G39" s="15"/>
      <c r="H39" s="15"/>
      <c r="I39" s="15"/>
      <c r="J39" s="15"/>
      <c r="K39" s="15"/>
      <c r="L39" s="15"/>
      <c r="M39" s="15"/>
      <c r="N39" s="15"/>
      <c r="O39" s="15"/>
      <c r="P39" s="15"/>
      <c r="Q39" s="15"/>
      <c r="R39" s="15"/>
      <c r="S39" s="15"/>
      <c r="T39" s="15"/>
      <c r="U39" s="64"/>
      <c r="V39" s="82"/>
      <c r="W39" s="82"/>
    </row>
    <row r="40" spans="1:31" ht="15" hidden="1" thickBot="1" x14ac:dyDescent="0.4">
      <c r="B40" s="178"/>
      <c r="C40" s="45"/>
      <c r="D40" s="15"/>
      <c r="E40" s="15"/>
      <c r="F40" s="15"/>
      <c r="G40" s="15"/>
      <c r="H40" s="15"/>
      <c r="I40" s="15"/>
      <c r="J40" s="15"/>
      <c r="K40" s="15"/>
      <c r="L40" s="15"/>
      <c r="M40" s="15"/>
      <c r="N40" s="15"/>
      <c r="O40" s="15"/>
      <c r="P40" s="15"/>
      <c r="Q40" s="15"/>
      <c r="R40" s="15"/>
      <c r="S40" s="15"/>
      <c r="T40" s="15"/>
      <c r="U40" s="64"/>
      <c r="V40" s="82"/>
      <c r="W40" s="82"/>
    </row>
    <row r="41" spans="1:31" ht="15" hidden="1" thickBot="1" x14ac:dyDescent="0.4">
      <c r="B41" s="205"/>
      <c r="C41" s="206"/>
      <c r="D41" s="206"/>
      <c r="E41" s="206"/>
      <c r="F41" s="206"/>
      <c r="G41" s="206"/>
      <c r="H41" s="206"/>
      <c r="I41" s="206"/>
      <c r="J41" s="206"/>
      <c r="K41" s="206"/>
      <c r="L41" s="206"/>
      <c r="M41" s="206"/>
      <c r="N41" s="189"/>
      <c r="O41" s="189"/>
      <c r="P41" s="189"/>
      <c r="Q41" s="189"/>
      <c r="R41" s="189"/>
      <c r="S41" s="189"/>
      <c r="T41" s="189"/>
      <c r="U41" s="64"/>
      <c r="V41" s="82" t="s">
        <v>54</v>
      </c>
      <c r="W41" s="82">
        <f>D26</f>
        <v>15</v>
      </c>
    </row>
    <row r="42" spans="1:31" ht="15" hidden="1" thickBot="1" x14ac:dyDescent="0.4">
      <c r="A42" s="15"/>
      <c r="B42" s="205"/>
      <c r="C42" s="206"/>
      <c r="D42" s="206"/>
      <c r="E42" s="206"/>
      <c r="F42" s="206"/>
      <c r="G42" s="206"/>
      <c r="H42" s="206"/>
      <c r="I42" s="206"/>
      <c r="J42" s="206"/>
      <c r="K42" s="206"/>
      <c r="L42" s="206"/>
      <c r="M42" s="206"/>
      <c r="N42" s="189"/>
      <c r="O42" s="189"/>
      <c r="P42" s="189"/>
      <c r="Q42" s="189"/>
      <c r="R42" s="189"/>
      <c r="S42" s="189"/>
      <c r="T42" s="189"/>
      <c r="U42" s="65"/>
      <c r="V42" s="82" t="s">
        <v>55</v>
      </c>
      <c r="W42" s="82">
        <f>(W34*W33*(1/(W37*(1-0.1)))/1000)*W26/1000000</f>
        <v>28.133808726153845</v>
      </c>
      <c r="X42" t="s">
        <v>36</v>
      </c>
    </row>
    <row r="43" spans="1:31" ht="15" hidden="1" thickBot="1" x14ac:dyDescent="0.4">
      <c r="B43" s="178"/>
      <c r="C43" s="45"/>
      <c r="D43" s="15"/>
      <c r="E43" s="15"/>
      <c r="F43" s="15"/>
      <c r="G43" s="15"/>
      <c r="H43" s="15"/>
      <c r="I43" s="15"/>
      <c r="J43" s="15"/>
      <c r="K43" s="15"/>
      <c r="L43" s="15"/>
      <c r="M43" s="15"/>
      <c r="N43" s="15"/>
      <c r="O43" s="15"/>
      <c r="P43" s="15"/>
      <c r="Q43" s="15"/>
      <c r="R43" s="15"/>
      <c r="S43" s="15"/>
      <c r="T43" s="15"/>
      <c r="V43" s="82" t="s">
        <v>158</v>
      </c>
      <c r="W43" s="82">
        <f>(W34*W33*(1/(W37*(1-0.1)))/1000)</f>
        <v>2685.8461538461534</v>
      </c>
      <c r="X43" t="s">
        <v>17</v>
      </c>
    </row>
    <row r="44" spans="1:31" ht="16" thickBot="1" x14ac:dyDescent="0.4">
      <c r="B44" s="323" t="s">
        <v>90</v>
      </c>
      <c r="C44" s="324"/>
      <c r="D44" s="324"/>
      <c r="E44" s="324"/>
      <c r="F44" s="324"/>
      <c r="G44" s="324"/>
      <c r="H44" s="324"/>
      <c r="I44" s="324"/>
      <c r="J44" s="324"/>
      <c r="K44" s="324"/>
      <c r="L44" s="324"/>
      <c r="M44" s="325"/>
      <c r="N44" s="323" t="s">
        <v>91</v>
      </c>
      <c r="O44" s="324"/>
      <c r="P44" s="324"/>
      <c r="Q44" s="324"/>
      <c r="R44" s="324"/>
      <c r="S44" s="325"/>
      <c r="AB44" s="82" t="s">
        <v>56</v>
      </c>
      <c r="AC44" s="83">
        <f>(W34*W33*(1/W41)/1000)*W26/1000000</f>
        <v>21.944370806400002</v>
      </c>
      <c r="AD44" t="s">
        <v>36</v>
      </c>
    </row>
    <row r="45" spans="1:31" ht="21.75" customHeight="1" x14ac:dyDescent="0.35">
      <c r="B45" s="223" t="s">
        <v>78</v>
      </c>
      <c r="C45" s="322" t="s">
        <v>82</v>
      </c>
      <c r="D45" s="322"/>
      <c r="E45" s="322"/>
      <c r="F45" s="322"/>
      <c r="G45" s="322"/>
      <c r="H45" s="341" t="s">
        <v>83</v>
      </c>
      <c r="I45" s="342"/>
      <c r="J45" s="342"/>
      <c r="K45" s="342"/>
      <c r="L45" s="342"/>
      <c r="M45" s="327"/>
      <c r="N45" s="198" t="s">
        <v>82</v>
      </c>
      <c r="O45" s="199"/>
      <c r="P45" s="191" t="s">
        <v>116</v>
      </c>
      <c r="Q45" s="192"/>
      <c r="R45" s="326" t="s">
        <v>164</v>
      </c>
      <c r="S45" s="327"/>
      <c r="AB45" s="82" t="s">
        <v>157</v>
      </c>
      <c r="AC45" s="83">
        <f>(W34*W33*(1/W41)/1000)</f>
        <v>2094.96</v>
      </c>
      <c r="AD45" t="s">
        <v>17</v>
      </c>
    </row>
    <row r="46" spans="1:31" ht="19.75" customHeight="1" x14ac:dyDescent="0.35">
      <c r="B46" s="108" t="s">
        <v>79</v>
      </c>
      <c r="C46" s="319" t="s">
        <v>166</v>
      </c>
      <c r="D46" s="319"/>
      <c r="E46" s="319"/>
      <c r="F46" s="319"/>
      <c r="G46" s="319"/>
      <c r="H46" s="330" t="s">
        <v>12</v>
      </c>
      <c r="I46" s="331"/>
      <c r="J46" s="331"/>
      <c r="K46" s="331"/>
      <c r="L46" s="331"/>
      <c r="M46" s="343"/>
      <c r="N46" s="202">
        <f>C36*10*29.3</f>
        <v>3199.5015536596479</v>
      </c>
      <c r="O46" s="127" t="s">
        <v>17</v>
      </c>
      <c r="P46" s="130">
        <v>0</v>
      </c>
      <c r="Q46" s="131" t="s">
        <v>117</v>
      </c>
      <c r="R46" s="137">
        <f>(N46/$O$24)+(P46/$O$25)</f>
        <v>10.919800524435658</v>
      </c>
      <c r="S46" s="127" t="s">
        <v>36</v>
      </c>
      <c r="AB46" s="148" t="s">
        <v>154</v>
      </c>
      <c r="AC46" s="166">
        <f>F32-L32</f>
        <v>2.0161035569230759</v>
      </c>
      <c r="AD46" t="s">
        <v>36</v>
      </c>
    </row>
    <row r="47" spans="1:31" ht="19.75" customHeight="1" x14ac:dyDescent="0.35">
      <c r="B47" s="108" t="s">
        <v>80</v>
      </c>
      <c r="C47" s="320" t="s">
        <v>130</v>
      </c>
      <c r="D47" s="320"/>
      <c r="E47" s="320"/>
      <c r="F47" s="320"/>
      <c r="G47" s="320"/>
      <c r="H47" s="333" t="s">
        <v>131</v>
      </c>
      <c r="I47" s="334"/>
      <c r="J47" s="334"/>
      <c r="K47" s="334"/>
      <c r="L47" s="334"/>
      <c r="M47" s="344"/>
      <c r="N47" s="203">
        <f>C35*293</f>
        <v>1813.5053104878759</v>
      </c>
      <c r="O47" s="128" t="s">
        <v>17</v>
      </c>
      <c r="P47" s="126">
        <f>C34*10</f>
        <v>47.303626046818152</v>
      </c>
      <c r="Q47" s="132" t="s">
        <v>117</v>
      </c>
      <c r="R47" s="137">
        <f>(N47/$O$24)+(P47/$O$25)</f>
        <v>10.919800524435658</v>
      </c>
      <c r="S47" s="127" t="s">
        <v>36</v>
      </c>
      <c r="AB47" s="148" t="s">
        <v>155</v>
      </c>
      <c r="AC47" s="166">
        <f>W43-AC45</f>
        <v>590.88615384615332</v>
      </c>
      <c r="AD47" t="s">
        <v>17</v>
      </c>
    </row>
    <row r="48" spans="1:31" s="43" customFormat="1" ht="17" customHeight="1" thickBot="1" x14ac:dyDescent="0.4">
      <c r="B48" s="109" t="s">
        <v>81</v>
      </c>
      <c r="C48" s="321" t="s">
        <v>12</v>
      </c>
      <c r="D48" s="321"/>
      <c r="E48" s="321"/>
      <c r="F48" s="321"/>
      <c r="G48" s="321"/>
      <c r="H48" s="345" t="s">
        <v>167</v>
      </c>
      <c r="I48" s="346"/>
      <c r="J48" s="346"/>
      <c r="K48" s="346"/>
      <c r="L48" s="346"/>
      <c r="M48" s="347"/>
      <c r="N48" s="204">
        <v>0</v>
      </c>
      <c r="O48" s="129" t="s">
        <v>17</v>
      </c>
      <c r="P48" s="135">
        <f>C36*10</f>
        <v>109.19800524435658</v>
      </c>
      <c r="Q48" s="133" t="s">
        <v>117</v>
      </c>
      <c r="R48" s="138">
        <f>(N48/$O$24)+(P48/$O$25)</f>
        <v>10.919800524435658</v>
      </c>
      <c r="S48" s="139" t="s">
        <v>36</v>
      </c>
      <c r="AB48" s="148" t="s">
        <v>146</v>
      </c>
      <c r="AC48" s="166">
        <f>'Baseline ASHP'!P30-'Counting Savings OPTONS'!W27</f>
        <v>11.397328100616782</v>
      </c>
      <c r="AD48" t="s">
        <v>36</v>
      </c>
      <c r="AE48"/>
    </row>
    <row r="49" spans="2:31" ht="21.75" customHeight="1" thickBot="1" x14ac:dyDescent="0.4">
      <c r="AB49" s="82" t="s">
        <v>145</v>
      </c>
      <c r="AC49" s="170">
        <f>'Baseline ASHP'!P31-'Counting Savings OPTONS'!W28</f>
        <v>1088.0670349730199</v>
      </c>
      <c r="AD49" t="s">
        <v>17</v>
      </c>
    </row>
    <row r="50" spans="2:31" ht="15" hidden="1" thickBot="1" x14ac:dyDescent="0.4">
      <c r="AB50" s="82" t="s">
        <v>139</v>
      </c>
      <c r="AC50" s="58">
        <f>'Baseline ASHP'!I35</f>
        <v>19.650900813008132</v>
      </c>
      <c r="AD50" t="s">
        <v>36</v>
      </c>
    </row>
    <row r="51" spans="2:31" ht="16" thickBot="1" x14ac:dyDescent="0.4">
      <c r="B51" s="336" t="s">
        <v>97</v>
      </c>
      <c r="C51" s="337"/>
      <c r="D51" s="337"/>
      <c r="E51" s="337"/>
      <c r="F51" s="337"/>
      <c r="G51" s="337"/>
      <c r="H51" s="337"/>
      <c r="I51" s="337"/>
      <c r="J51" s="337"/>
      <c r="K51" s="337"/>
      <c r="L51" s="337"/>
      <c r="M51" s="337"/>
      <c r="N51" s="336" t="s">
        <v>91</v>
      </c>
      <c r="O51" s="337"/>
      <c r="P51" s="337"/>
      <c r="Q51" s="337"/>
      <c r="R51" s="337"/>
      <c r="S51" s="338"/>
      <c r="AB51" s="82" t="s">
        <v>156</v>
      </c>
      <c r="AC51" s="170">
        <f>'Baseline ASHP'!P31</f>
        <v>5759.3495934959356</v>
      </c>
      <c r="AD51" t="s">
        <v>17</v>
      </c>
    </row>
    <row r="52" spans="2:31" ht="17.75" customHeight="1" x14ac:dyDescent="0.35">
      <c r="B52" s="110" t="s">
        <v>78</v>
      </c>
      <c r="C52" s="328" t="s">
        <v>82</v>
      </c>
      <c r="D52" s="329"/>
      <c r="E52" s="329"/>
      <c r="F52" s="329"/>
      <c r="G52" s="329"/>
      <c r="H52" s="351" t="s">
        <v>83</v>
      </c>
      <c r="I52" s="352"/>
      <c r="J52" s="352"/>
      <c r="K52" s="352"/>
      <c r="L52" s="352"/>
      <c r="M52" s="352"/>
      <c r="N52" s="191" t="s">
        <v>82</v>
      </c>
      <c r="O52" s="192"/>
      <c r="P52" s="191" t="s">
        <v>83</v>
      </c>
      <c r="Q52" s="192"/>
      <c r="R52" s="339" t="s">
        <v>118</v>
      </c>
      <c r="S52" s="340"/>
      <c r="AB52" s="82" t="s">
        <v>142</v>
      </c>
      <c r="AC52" s="58">
        <f>H24/100000</f>
        <v>0.10474840000000001</v>
      </c>
      <c r="AD52" t="s">
        <v>149</v>
      </c>
    </row>
    <row r="53" spans="2:31" ht="19" customHeight="1" x14ac:dyDescent="0.35">
      <c r="B53" s="108" t="s">
        <v>79</v>
      </c>
      <c r="C53" s="330" t="s">
        <v>168</v>
      </c>
      <c r="D53" s="331"/>
      <c r="E53" s="331"/>
      <c r="F53" s="331"/>
      <c r="G53" s="332"/>
      <c r="H53" s="319">
        <v>0</v>
      </c>
      <c r="I53" s="319"/>
      <c r="J53" s="319"/>
      <c r="K53" s="319"/>
      <c r="L53" s="319"/>
      <c r="M53" s="330"/>
      <c r="N53" s="202">
        <f>G36*10*29.3</f>
        <v>11487.852427902166</v>
      </c>
      <c r="O53" s="131" t="s">
        <v>17</v>
      </c>
      <c r="P53" s="130">
        <v>0</v>
      </c>
      <c r="Q53" s="134" t="s">
        <v>117</v>
      </c>
      <c r="R53" s="152">
        <f>(N53/$O$24)+(P53/$O$25)</f>
        <v>39.207687467242884</v>
      </c>
      <c r="S53" s="131" t="s">
        <v>36</v>
      </c>
      <c r="AB53" s="168" t="s">
        <v>148</v>
      </c>
      <c r="AC53" s="168">
        <f>O22/100000</f>
        <v>3.4119999999999998E-2</v>
      </c>
      <c r="AD53" t="s">
        <v>149</v>
      </c>
    </row>
    <row r="54" spans="2:31" ht="17.75" customHeight="1" x14ac:dyDescent="0.35">
      <c r="B54" s="108" t="s">
        <v>80</v>
      </c>
      <c r="C54" s="333" t="s">
        <v>134</v>
      </c>
      <c r="D54" s="334"/>
      <c r="E54" s="334"/>
      <c r="F54" s="334"/>
      <c r="G54" s="335"/>
      <c r="H54" s="320" t="s">
        <v>135</v>
      </c>
      <c r="I54" s="320"/>
      <c r="J54" s="320"/>
      <c r="K54" s="320"/>
      <c r="L54" s="320"/>
      <c r="M54" s="333"/>
      <c r="N54" s="224">
        <f>G35*293</f>
        <v>590.71834217846117</v>
      </c>
      <c r="O54" s="131" t="s">
        <v>17</v>
      </c>
      <c r="P54" s="141">
        <f>G34*10</f>
        <v>371.9158391031981</v>
      </c>
      <c r="Q54" s="132" t="s">
        <v>117</v>
      </c>
      <c r="R54" s="152">
        <f>(N54/$O$24)+(P54/$O$25)</f>
        <v>39.207687467242884</v>
      </c>
      <c r="S54" s="131" t="s">
        <v>36</v>
      </c>
      <c r="AD54" s="43"/>
      <c r="AE54" s="43"/>
    </row>
    <row r="55" spans="2:31" ht="15.65" customHeight="1" thickBot="1" x14ac:dyDescent="0.4">
      <c r="B55" s="111" t="s">
        <v>81</v>
      </c>
      <c r="C55" s="348">
        <v>0</v>
      </c>
      <c r="D55" s="349"/>
      <c r="E55" s="349"/>
      <c r="F55" s="349"/>
      <c r="G55" s="350"/>
      <c r="H55" s="353" t="s">
        <v>169</v>
      </c>
      <c r="I55" s="353"/>
      <c r="J55" s="353"/>
      <c r="K55" s="353"/>
      <c r="L55" s="353"/>
      <c r="M55" s="348"/>
      <c r="N55" s="204">
        <v>0</v>
      </c>
      <c r="O55" s="136" t="s">
        <v>17</v>
      </c>
      <c r="P55" s="135">
        <f>G36*10</f>
        <v>392.07687467242886</v>
      </c>
      <c r="Q55" s="133" t="s">
        <v>117</v>
      </c>
      <c r="R55" s="153">
        <f>(N55/$O$24)+(P55/$O$25)</f>
        <v>39.207687467242884</v>
      </c>
      <c r="S55" s="140" t="s">
        <v>36</v>
      </c>
      <c r="AC55" s="171">
        <f>AC47+AC49</f>
        <v>1678.9531888191732</v>
      </c>
    </row>
    <row r="56" spans="2:31" ht="30.65" customHeight="1" x14ac:dyDescent="0.35"/>
    <row r="57" spans="2:31" ht="16" hidden="1" thickBot="1" x14ac:dyDescent="0.4">
      <c r="B57" s="357" t="s">
        <v>159</v>
      </c>
      <c r="C57" s="358"/>
      <c r="D57" s="358"/>
      <c r="E57" s="358"/>
      <c r="F57" s="358"/>
      <c r="G57" s="358"/>
      <c r="H57" s="358"/>
      <c r="I57" s="358"/>
      <c r="J57" s="358"/>
      <c r="K57" s="358"/>
      <c r="L57" s="358"/>
      <c r="M57" s="359"/>
      <c r="N57" s="360" t="s">
        <v>91</v>
      </c>
      <c r="O57" s="360"/>
      <c r="P57" s="360"/>
      <c r="Q57" s="360"/>
      <c r="R57" s="360"/>
      <c r="S57" s="361"/>
    </row>
    <row r="58" spans="2:31" hidden="1" x14ac:dyDescent="0.35">
      <c r="B58" s="229" t="s">
        <v>78</v>
      </c>
      <c r="C58" s="367" t="s">
        <v>82</v>
      </c>
      <c r="D58" s="368"/>
      <c r="E58" s="368"/>
      <c r="F58" s="368"/>
      <c r="G58" s="369"/>
      <c r="H58" s="367" t="s">
        <v>83</v>
      </c>
      <c r="I58" s="368"/>
      <c r="J58" s="368"/>
      <c r="K58" s="368"/>
      <c r="L58" s="368"/>
      <c r="M58" s="373"/>
      <c r="N58" s="191" t="s">
        <v>82</v>
      </c>
      <c r="O58" s="192"/>
      <c r="P58" s="191" t="s">
        <v>83</v>
      </c>
      <c r="Q58" s="192"/>
      <c r="R58" s="193" t="s">
        <v>118</v>
      </c>
      <c r="S58" s="194"/>
    </row>
    <row r="59" spans="2:31" ht="66.650000000000006" hidden="1" customHeight="1" x14ac:dyDescent="0.35">
      <c r="B59" s="108" t="s">
        <v>79</v>
      </c>
      <c r="C59" s="370" t="s">
        <v>170</v>
      </c>
      <c r="D59" s="371"/>
      <c r="E59" s="371"/>
      <c r="F59" s="371"/>
      <c r="G59" s="372"/>
      <c r="H59" s="330">
        <v>0</v>
      </c>
      <c r="I59" s="331"/>
      <c r="J59" s="331"/>
      <c r="K59" s="331"/>
      <c r="L59" s="331"/>
      <c r="M59" s="343"/>
      <c r="N59" s="202">
        <f>AC47+AC49-AC51+(W32/AC52)</f>
        <v>991.75744206457148</v>
      </c>
      <c r="O59" s="131" t="s">
        <v>17</v>
      </c>
      <c r="P59" s="130">
        <v>0</v>
      </c>
      <c r="Q59" s="134" t="s">
        <v>117</v>
      </c>
      <c r="R59" s="152">
        <f>(N59/$O$24)+(P59/$O$25)</f>
        <v>3.3848376862272063</v>
      </c>
      <c r="S59" s="131" t="s">
        <v>36</v>
      </c>
      <c r="T59" s="147"/>
      <c r="U59" s="147"/>
      <c r="V59" s="147"/>
      <c r="W59" s="147"/>
      <c r="X59" s="147"/>
    </row>
    <row r="60" spans="2:31" ht="37.4" hidden="1" customHeight="1" x14ac:dyDescent="0.35">
      <c r="B60" s="108" t="s">
        <v>80</v>
      </c>
      <c r="C60" s="370" t="s">
        <v>171</v>
      </c>
      <c r="D60" s="371"/>
      <c r="E60" s="371"/>
      <c r="F60" s="371"/>
      <c r="G60" s="372"/>
      <c r="H60" s="370" t="s">
        <v>172</v>
      </c>
      <c r="I60" s="371"/>
      <c r="J60" s="371"/>
      <c r="K60" s="371"/>
      <c r="L60" s="371"/>
      <c r="M60" s="374"/>
      <c r="N60" s="224">
        <f>(AC46*O24)+AC49</f>
        <v>1678.785377151481</v>
      </c>
      <c r="O60" s="131" t="s">
        <v>17</v>
      </c>
      <c r="P60" s="169">
        <f>W32-(AC52*'Baseline ASHP'!P31)</f>
        <v>-71.982654959349702</v>
      </c>
      <c r="Q60" s="132" t="s">
        <v>117</v>
      </c>
      <c r="R60" s="152">
        <f>(N60/$O$24)+(P60/$O$25)</f>
        <v>-1.4686225705032943</v>
      </c>
      <c r="S60" s="131" t="s">
        <v>36</v>
      </c>
      <c r="Y60" s="117" t="s">
        <v>96</v>
      </c>
    </row>
    <row r="61" spans="2:31" ht="86.25" hidden="1" customHeight="1" thickBot="1" x14ac:dyDescent="0.4">
      <c r="B61" s="111" t="s">
        <v>81</v>
      </c>
      <c r="C61" s="348">
        <v>0</v>
      </c>
      <c r="D61" s="349"/>
      <c r="E61" s="349"/>
      <c r="F61" s="349"/>
      <c r="G61" s="350"/>
      <c r="H61" s="354" t="s">
        <v>173</v>
      </c>
      <c r="I61" s="355"/>
      <c r="J61" s="355"/>
      <c r="K61" s="355"/>
      <c r="L61" s="355"/>
      <c r="M61" s="356"/>
      <c r="N61" s="204">
        <v>0</v>
      </c>
      <c r="O61" s="136" t="s">
        <v>17</v>
      </c>
      <c r="P61" s="135">
        <f>W32-(AC51*AC52)+(AC47*AC52)+(AC49*AC52)</f>
        <v>103.88500524435659</v>
      </c>
      <c r="Q61" s="133" t="s">
        <v>117</v>
      </c>
      <c r="R61" s="153">
        <f>(N61/$O$24)+(P61/$O$25)</f>
        <v>10.38850052443566</v>
      </c>
      <c r="S61" s="140" t="s">
        <v>36</v>
      </c>
    </row>
    <row r="62" spans="2:31" ht="15" hidden="1" thickBot="1" x14ac:dyDescent="0.4"/>
    <row r="63" spans="2:31" ht="15" hidden="1" thickBot="1" x14ac:dyDescent="0.4">
      <c r="B63" s="364" t="s">
        <v>147</v>
      </c>
      <c r="C63" s="365"/>
      <c r="D63" s="365"/>
      <c r="E63" s="365"/>
      <c r="F63" s="365"/>
      <c r="G63" s="365"/>
      <c r="H63" s="365"/>
      <c r="I63" s="365"/>
      <c r="J63" s="365"/>
      <c r="K63" s="365"/>
      <c r="L63" s="365"/>
      <c r="M63" s="366"/>
      <c r="N63" s="195" t="s">
        <v>91</v>
      </c>
      <c r="O63" s="196"/>
      <c r="P63" s="196"/>
      <c r="Q63" s="196"/>
      <c r="R63" s="196"/>
      <c r="S63" s="197"/>
    </row>
    <row r="64" spans="2:31" hidden="1" x14ac:dyDescent="0.35">
      <c r="B64" s="230" t="s">
        <v>78</v>
      </c>
      <c r="C64" s="362" t="s">
        <v>82</v>
      </c>
      <c r="D64" s="363"/>
      <c r="E64" s="363"/>
      <c r="F64" s="363"/>
      <c r="G64" s="363"/>
      <c r="H64" s="377" t="s">
        <v>83</v>
      </c>
      <c r="I64" s="377"/>
      <c r="J64" s="377"/>
      <c r="K64" s="377"/>
      <c r="L64" s="377"/>
      <c r="M64" s="378"/>
      <c r="N64" s="191" t="s">
        <v>82</v>
      </c>
      <c r="O64" s="192"/>
      <c r="P64" s="191" t="s">
        <v>83</v>
      </c>
      <c r="Q64" s="192"/>
      <c r="R64" s="193" t="s">
        <v>118</v>
      </c>
      <c r="S64" s="194"/>
    </row>
    <row r="65" spans="2:19" ht="65.900000000000006" hidden="1" customHeight="1" x14ac:dyDescent="0.35">
      <c r="B65" s="108" t="s">
        <v>79</v>
      </c>
      <c r="C65" s="375" t="s">
        <v>174</v>
      </c>
      <c r="D65" s="375"/>
      <c r="E65" s="375"/>
      <c r="F65" s="375"/>
      <c r="G65" s="375"/>
      <c r="H65" s="319">
        <v>0</v>
      </c>
      <c r="I65" s="319"/>
      <c r="J65" s="319"/>
      <c r="K65" s="319"/>
      <c r="L65" s="319"/>
      <c r="M65" s="376"/>
      <c r="N65" s="202">
        <f>AC47+AC49-AC51+(W32/AC53)</f>
        <v>11491.115904819133</v>
      </c>
      <c r="O65" s="131" t="s">
        <v>17</v>
      </c>
      <c r="P65" s="130">
        <v>0</v>
      </c>
      <c r="Q65" s="134" t="s">
        <v>117</v>
      </c>
      <c r="R65" s="152">
        <f>(N65/$O$24)+(P65/$O$25)</f>
        <v>39.218825613717179</v>
      </c>
      <c r="S65" s="131" t="s">
        <v>36</v>
      </c>
    </row>
    <row r="66" spans="2:19" ht="46.25" hidden="1" customHeight="1" x14ac:dyDescent="0.35">
      <c r="B66" s="108" t="s">
        <v>80</v>
      </c>
      <c r="C66" s="375" t="s">
        <v>175</v>
      </c>
      <c r="D66" s="375"/>
      <c r="E66" s="375"/>
      <c r="F66" s="375"/>
      <c r="G66" s="375"/>
      <c r="H66" s="375" t="s">
        <v>172</v>
      </c>
      <c r="I66" s="375"/>
      <c r="J66" s="375"/>
      <c r="K66" s="375"/>
      <c r="L66" s="375"/>
      <c r="M66" s="379"/>
      <c r="N66" s="224">
        <f>(AC46*O24)+AC49</f>
        <v>1678.785377151481</v>
      </c>
      <c r="O66" s="131" t="s">
        <v>17</v>
      </c>
      <c r="P66" s="141">
        <f>W32-(AC53*'Baseline ASHP'!P31)</f>
        <v>334.79099186991868</v>
      </c>
      <c r="Q66" s="132" t="s">
        <v>117</v>
      </c>
      <c r="R66" s="152">
        <f>(N66/$O$24)+(P66/$O$25)</f>
        <v>39.208742112423543</v>
      </c>
      <c r="S66" s="131" t="s">
        <v>36</v>
      </c>
    </row>
    <row r="67" spans="2:19" ht="61.9" hidden="1" customHeight="1" thickBot="1" x14ac:dyDescent="0.4">
      <c r="B67" s="111" t="s">
        <v>81</v>
      </c>
      <c r="C67" s="353">
        <v>0</v>
      </c>
      <c r="D67" s="353"/>
      <c r="E67" s="353"/>
      <c r="F67" s="353"/>
      <c r="G67" s="353"/>
      <c r="H67" s="380" t="s">
        <v>173</v>
      </c>
      <c r="I67" s="380"/>
      <c r="J67" s="380"/>
      <c r="K67" s="380"/>
      <c r="L67" s="380"/>
      <c r="M67" s="381"/>
      <c r="N67" s="204">
        <v>0</v>
      </c>
      <c r="O67" s="136" t="s">
        <v>17</v>
      </c>
      <c r="P67" s="135">
        <f>W32-(AC51*AC53)+(AC47*AC53)+(AC49*AC53)</f>
        <v>392.07687467242886</v>
      </c>
      <c r="Q67" s="133" t="s">
        <v>117</v>
      </c>
      <c r="R67" s="153">
        <f>(N67/$O$24)+(P67/$O$25)</f>
        <v>39.207687467242884</v>
      </c>
      <c r="S67" s="140" t="s">
        <v>36</v>
      </c>
    </row>
  </sheetData>
  <mergeCells count="79">
    <mergeCell ref="C66:G66"/>
    <mergeCell ref="H66:M66"/>
    <mergeCell ref="C67:G67"/>
    <mergeCell ref="H67:M67"/>
    <mergeCell ref="C61:G61"/>
    <mergeCell ref="H61:M61"/>
    <mergeCell ref="B63:M63"/>
    <mergeCell ref="C64:G64"/>
    <mergeCell ref="H64:M64"/>
    <mergeCell ref="C65:G65"/>
    <mergeCell ref="H65:M65"/>
    <mergeCell ref="C58:G58"/>
    <mergeCell ref="H58:M58"/>
    <mergeCell ref="C59:G59"/>
    <mergeCell ref="H59:M59"/>
    <mergeCell ref="C60:G60"/>
    <mergeCell ref="H60:M60"/>
    <mergeCell ref="N57:S57"/>
    <mergeCell ref="B51:M51"/>
    <mergeCell ref="N51:S51"/>
    <mergeCell ref="C52:G52"/>
    <mergeCell ref="H52:M52"/>
    <mergeCell ref="R52:S52"/>
    <mergeCell ref="C53:G53"/>
    <mergeCell ref="H53:M53"/>
    <mergeCell ref="C54:G54"/>
    <mergeCell ref="H54:M54"/>
    <mergeCell ref="C55:G55"/>
    <mergeCell ref="H55:M55"/>
    <mergeCell ref="B57:M57"/>
    <mergeCell ref="C46:G46"/>
    <mergeCell ref="H46:M46"/>
    <mergeCell ref="C47:G47"/>
    <mergeCell ref="H47:M47"/>
    <mergeCell ref="C48:G48"/>
    <mergeCell ref="H48:M48"/>
    <mergeCell ref="AA31:AC31"/>
    <mergeCell ref="B44:M44"/>
    <mergeCell ref="N44:S44"/>
    <mergeCell ref="C45:G45"/>
    <mergeCell ref="H45:M45"/>
    <mergeCell ref="R45:S45"/>
    <mergeCell ref="K28:K29"/>
    <mergeCell ref="L28:M29"/>
    <mergeCell ref="C30:D30"/>
    <mergeCell ref="F30:G30"/>
    <mergeCell ref="I30:J30"/>
    <mergeCell ref="L30:M30"/>
    <mergeCell ref="I28:J29"/>
    <mergeCell ref="B28:B29"/>
    <mergeCell ref="C28:D29"/>
    <mergeCell ref="E28:E29"/>
    <mergeCell ref="F28:G29"/>
    <mergeCell ref="H28:H29"/>
    <mergeCell ref="AC23:AD23"/>
    <mergeCell ref="AC24:AD24"/>
    <mergeCell ref="Y25:Z27"/>
    <mergeCell ref="AA25:AB25"/>
    <mergeCell ref="AC25:AD25"/>
    <mergeCell ref="AA26:AB26"/>
    <mergeCell ref="AC26:AD26"/>
    <mergeCell ref="AA27:AB27"/>
    <mergeCell ref="AC27:AD27"/>
    <mergeCell ref="AC22:AD22"/>
    <mergeCell ref="Y1:AA1"/>
    <mergeCell ref="V2:W2"/>
    <mergeCell ref="B9:B10"/>
    <mergeCell ref="C9:D10"/>
    <mergeCell ref="E9:E10"/>
    <mergeCell ref="F9:G10"/>
    <mergeCell ref="H9:H10"/>
    <mergeCell ref="I9:J10"/>
    <mergeCell ref="K9:K10"/>
    <mergeCell ref="L9:M10"/>
    <mergeCell ref="C16:M17"/>
    <mergeCell ref="V21:W21"/>
    <mergeCell ref="G22:H22"/>
    <mergeCell ref="I22:J22"/>
    <mergeCell ref="Y22:Z22"/>
  </mergeCells>
  <conditionalFormatting sqref="P47">
    <cfRule type="expression" dxfId="1" priority="2">
      <formula>$P$47&lt;0</formula>
    </cfRule>
  </conditionalFormatting>
  <conditionalFormatting sqref="Q47">
    <cfRule type="expression" dxfId="0" priority="1">
      <formula>$P$47&lt;0</formula>
    </cfRule>
  </conditionalFormatting>
  <dataValidations count="1">
    <dataValidation type="list" allowBlank="1" showInputMessage="1" showErrorMessage="1" sqref="C5" xr:uid="{00000000-0002-0000-0400-000000000000}">
      <formula1>$Y$3:$Y$7</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'Screening Criteria-95AFUE'!$S$10:$S$14</xm:f>
          </x14:formula1>
          <xm:sqref>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U48"/>
  <sheetViews>
    <sheetView workbookViewId="0">
      <selection activeCell="C46" sqref="C46:D46"/>
    </sheetView>
    <sheetView workbookViewId="1"/>
  </sheetViews>
  <sheetFormatPr defaultRowHeight="14.5" x14ac:dyDescent="0.35"/>
  <cols>
    <col min="1" max="1" width="1.453125" customWidth="1"/>
    <col min="2" max="2" width="24.453125" style="32" customWidth="1"/>
    <col min="3" max="3" width="14.7265625" style="3" customWidth="1"/>
    <col min="7" max="7" width="11.08984375" customWidth="1"/>
    <col min="9" max="9" width="9.26953125" customWidth="1"/>
    <col min="10" max="10" width="10.6328125" customWidth="1"/>
    <col min="13" max="13" width="14.90625" customWidth="1"/>
    <col min="14" max="14" width="2.453125" customWidth="1"/>
    <col min="15" max="15" width="30.453125" customWidth="1"/>
    <col min="16" max="16" width="10.453125" customWidth="1"/>
    <col min="17" max="17" width="2.90625" customWidth="1"/>
    <col min="18" max="18" width="16" customWidth="1"/>
    <col min="19" max="19" width="19.90625" customWidth="1"/>
    <col min="20" max="20" width="18.7265625" customWidth="1"/>
    <col min="21" max="21" width="18.26953125" customWidth="1"/>
  </cols>
  <sheetData>
    <row r="1" spans="2:20" ht="11.5" customHeight="1" thickBot="1" x14ac:dyDescent="0.4"/>
    <row r="2" spans="2:20" ht="15" thickBot="1" x14ac:dyDescent="0.4">
      <c r="C2" s="3" t="s">
        <v>43</v>
      </c>
      <c r="D2" s="260" t="s">
        <v>42</v>
      </c>
      <c r="E2" s="261"/>
      <c r="F2" s="262" t="s">
        <v>44</v>
      </c>
      <c r="G2" s="263"/>
      <c r="I2" s="118"/>
    </row>
    <row r="3" spans="2:20" ht="7.5" customHeight="1" x14ac:dyDescent="0.35"/>
    <row r="4" spans="2:20" ht="18.5" hidden="1" x14ac:dyDescent="0.45">
      <c r="B4" s="76" t="s">
        <v>40</v>
      </c>
      <c r="C4" s="50"/>
      <c r="D4" s="51"/>
      <c r="E4" s="51"/>
      <c r="F4" s="51"/>
      <c r="G4" s="51"/>
      <c r="H4" s="51"/>
      <c r="I4" s="51"/>
      <c r="J4" s="51"/>
      <c r="K4" s="51"/>
      <c r="L4" s="51"/>
      <c r="M4" s="52"/>
      <c r="N4" s="62"/>
      <c r="O4" s="62"/>
      <c r="P4" s="63"/>
      <c r="R4" s="264" t="s">
        <v>62</v>
      </c>
      <c r="S4" s="264"/>
      <c r="T4" s="264"/>
    </row>
    <row r="5" spans="2:20" ht="29.9" hidden="1" customHeight="1" thickBot="1" x14ac:dyDescent="0.4">
      <c r="B5" s="66"/>
      <c r="C5" s="45"/>
      <c r="D5" s="15"/>
      <c r="E5" s="15"/>
      <c r="F5" s="15"/>
      <c r="G5" s="15"/>
      <c r="H5" s="15"/>
      <c r="I5" s="15"/>
      <c r="J5" s="15"/>
      <c r="K5" s="15"/>
      <c r="L5" s="15"/>
      <c r="M5" s="16"/>
      <c r="N5" s="64"/>
      <c r="O5" s="265" t="s">
        <v>58</v>
      </c>
      <c r="P5" s="266"/>
      <c r="R5" s="72" t="s">
        <v>61</v>
      </c>
      <c r="S5" s="72" t="s">
        <v>63</v>
      </c>
      <c r="T5" s="72" t="s">
        <v>64</v>
      </c>
    </row>
    <row r="6" spans="2:20" hidden="1" x14ac:dyDescent="0.35">
      <c r="B6" s="66" t="s">
        <v>23</v>
      </c>
      <c r="C6" s="45" t="s">
        <v>28</v>
      </c>
      <c r="D6" s="92">
        <v>0.8</v>
      </c>
      <c r="E6" s="15" t="s">
        <v>29</v>
      </c>
      <c r="F6" s="15"/>
      <c r="G6" s="15"/>
      <c r="H6" s="15"/>
      <c r="I6" s="15"/>
      <c r="J6" s="15"/>
      <c r="K6" s="15"/>
      <c r="L6" s="15"/>
      <c r="M6" s="16"/>
      <c r="N6" s="64"/>
      <c r="O6" s="82" t="s">
        <v>46</v>
      </c>
      <c r="P6" s="82">
        <f>VLOOKUP(C8, R6:T10,3, )</f>
        <v>1840</v>
      </c>
      <c r="Q6" s="1"/>
      <c r="R6" s="70" t="s">
        <v>71</v>
      </c>
      <c r="S6" s="71">
        <v>1022</v>
      </c>
      <c r="T6" s="71">
        <v>1969</v>
      </c>
    </row>
    <row r="7" spans="2:20" hidden="1" x14ac:dyDescent="0.35">
      <c r="B7" s="66" t="s">
        <v>24</v>
      </c>
      <c r="C7" s="45" t="s">
        <v>21</v>
      </c>
      <c r="D7" s="91"/>
      <c r="E7" s="15" t="s">
        <v>38</v>
      </c>
      <c r="F7" s="15"/>
      <c r="G7" s="15"/>
      <c r="H7" s="15"/>
      <c r="I7" s="15"/>
      <c r="J7" s="15"/>
      <c r="K7" s="15"/>
      <c r="L7" s="15"/>
      <c r="M7" s="16"/>
      <c r="N7" s="64"/>
      <c r="O7" s="82" t="s">
        <v>45</v>
      </c>
      <c r="P7" s="82">
        <v>33000</v>
      </c>
      <c r="R7" s="58" t="s">
        <v>72</v>
      </c>
      <c r="S7" s="69">
        <v>976</v>
      </c>
      <c r="T7" s="69">
        <v>1840</v>
      </c>
    </row>
    <row r="8" spans="2:20" hidden="1" x14ac:dyDescent="0.35">
      <c r="B8" s="66" t="s">
        <v>57</v>
      </c>
      <c r="C8" s="59" t="s">
        <v>72</v>
      </c>
      <c r="D8" s="45"/>
      <c r="E8" s="15"/>
      <c r="F8" s="15"/>
      <c r="G8" s="15"/>
      <c r="H8" s="15"/>
      <c r="I8" s="15"/>
      <c r="J8" s="15"/>
      <c r="K8" s="15"/>
      <c r="L8" s="15"/>
      <c r="M8" s="16"/>
      <c r="N8" s="64"/>
      <c r="O8" s="82" t="s">
        <v>47</v>
      </c>
      <c r="P8" s="82">
        <f>D9</f>
        <v>13.3</v>
      </c>
      <c r="R8" s="58" t="s">
        <v>70</v>
      </c>
      <c r="S8" s="69">
        <v>836</v>
      </c>
      <c r="T8" s="69">
        <v>1754</v>
      </c>
    </row>
    <row r="9" spans="2:20" hidden="1" x14ac:dyDescent="0.35">
      <c r="B9" s="66" t="s">
        <v>25</v>
      </c>
      <c r="C9" s="15" t="s">
        <v>27</v>
      </c>
      <c r="D9" s="86">
        <v>13.3</v>
      </c>
      <c r="E9" s="15" t="s">
        <v>50</v>
      </c>
      <c r="F9" s="15"/>
      <c r="G9" s="15"/>
      <c r="H9" s="15"/>
      <c r="I9" s="15"/>
      <c r="J9" s="15"/>
      <c r="K9" s="15"/>
      <c r="L9" s="15"/>
      <c r="M9" s="16"/>
      <c r="N9" s="64"/>
      <c r="O9" s="82" t="s">
        <v>48</v>
      </c>
      <c r="P9" s="82">
        <v>1</v>
      </c>
      <c r="R9" s="58" t="s">
        <v>69</v>
      </c>
      <c r="S9" s="69">
        <v>645</v>
      </c>
      <c r="T9" s="69">
        <v>1266</v>
      </c>
    </row>
    <row r="10" spans="2:20" hidden="1" x14ac:dyDescent="0.35">
      <c r="B10" s="66" t="s">
        <v>26</v>
      </c>
      <c r="C10" s="15" t="s">
        <v>27</v>
      </c>
      <c r="D10" s="86">
        <v>20.5</v>
      </c>
      <c r="E10" s="15" t="s">
        <v>38</v>
      </c>
      <c r="F10" s="15"/>
      <c r="G10" s="15"/>
      <c r="H10" s="15"/>
      <c r="I10" s="15"/>
      <c r="J10" s="15"/>
      <c r="K10" s="15"/>
      <c r="L10" s="15"/>
      <c r="M10" s="16"/>
      <c r="N10" s="64"/>
      <c r="O10" s="82" t="s">
        <v>60</v>
      </c>
      <c r="P10" s="82">
        <v>10000</v>
      </c>
      <c r="R10" s="58" t="s">
        <v>68</v>
      </c>
      <c r="S10" s="69">
        <v>656</v>
      </c>
      <c r="T10" s="69">
        <v>1288</v>
      </c>
    </row>
    <row r="11" spans="2:20" hidden="1" x14ac:dyDescent="0.35">
      <c r="B11" s="66"/>
      <c r="C11" s="45"/>
      <c r="D11" s="15"/>
      <c r="E11" s="15"/>
      <c r="F11" s="15"/>
      <c r="G11" s="15"/>
      <c r="H11" s="15"/>
      <c r="I11" s="15"/>
      <c r="J11" s="15"/>
      <c r="K11" s="15"/>
      <c r="L11" s="15"/>
      <c r="M11" s="16"/>
      <c r="N11" s="64"/>
      <c r="O11" s="82" t="s">
        <v>49</v>
      </c>
      <c r="P11" s="83">
        <f>((P6*P7*(1/(P8*P9*(1-0))))/1000)*P10/1000000</f>
        <v>45.654135338345853</v>
      </c>
    </row>
    <row r="12" spans="2:20" ht="14.25" hidden="1" customHeight="1" thickBot="1" x14ac:dyDescent="0.4">
      <c r="B12" s="275" t="s">
        <v>30</v>
      </c>
      <c r="C12" s="276" t="s">
        <v>31</v>
      </c>
      <c r="D12" s="276"/>
      <c r="E12" s="277" t="s">
        <v>32</v>
      </c>
      <c r="F12" s="269" t="s">
        <v>33</v>
      </c>
      <c r="G12" s="269"/>
      <c r="H12" s="277" t="s">
        <v>12</v>
      </c>
      <c r="I12" s="267" t="s">
        <v>34</v>
      </c>
      <c r="J12" s="267"/>
      <c r="K12" s="268" t="s">
        <v>12</v>
      </c>
      <c r="L12" s="269" t="s">
        <v>35</v>
      </c>
      <c r="M12" s="270"/>
      <c r="N12" s="64"/>
      <c r="O12" s="82" t="s">
        <v>73</v>
      </c>
      <c r="P12" s="82">
        <f>VLOOKUP(C8,R6:T10,2)</f>
        <v>976</v>
      </c>
      <c r="R12" s="72" t="s">
        <v>65</v>
      </c>
      <c r="S12" s="72" t="s">
        <v>66</v>
      </c>
    </row>
    <row r="13" spans="2:20" ht="14.25" hidden="1" customHeight="1" x14ac:dyDescent="0.35">
      <c r="B13" s="275"/>
      <c r="C13" s="276"/>
      <c r="D13" s="276"/>
      <c r="E13" s="277"/>
      <c r="F13" s="269"/>
      <c r="G13" s="269"/>
      <c r="H13" s="277"/>
      <c r="I13" s="267"/>
      <c r="J13" s="267"/>
      <c r="K13" s="268"/>
      <c r="L13" s="269"/>
      <c r="M13" s="270"/>
      <c r="N13" s="64"/>
      <c r="O13" s="82" t="s">
        <v>29</v>
      </c>
      <c r="P13" s="84">
        <f>D6</f>
        <v>0.8</v>
      </c>
      <c r="Q13" s="1"/>
      <c r="R13" s="70" t="s">
        <v>71</v>
      </c>
      <c r="S13" s="71">
        <v>512</v>
      </c>
    </row>
    <row r="14" spans="2:20" hidden="1" x14ac:dyDescent="0.35">
      <c r="B14" s="66"/>
      <c r="C14" s="45"/>
      <c r="D14" s="15"/>
      <c r="E14" s="15"/>
      <c r="F14" s="15"/>
      <c r="G14" s="15"/>
      <c r="H14" s="15"/>
      <c r="I14" s="15"/>
      <c r="J14" s="15"/>
      <c r="K14" s="15"/>
      <c r="L14" s="15"/>
      <c r="M14" s="16"/>
      <c r="N14" s="64"/>
      <c r="O14" s="82" t="s">
        <v>51</v>
      </c>
      <c r="P14" s="82">
        <f>((P12*P7*1/P13)/1000000)</f>
        <v>40.26</v>
      </c>
      <c r="R14" s="58" t="s">
        <v>72</v>
      </c>
      <c r="S14" s="69">
        <v>570</v>
      </c>
    </row>
    <row r="15" spans="2:20" hidden="1" x14ac:dyDescent="0.35">
      <c r="B15" s="66" t="s">
        <v>30</v>
      </c>
      <c r="C15" s="78">
        <f>P14</f>
        <v>40.26</v>
      </c>
      <c r="D15" s="47" t="s">
        <v>36</v>
      </c>
      <c r="E15" s="45" t="s">
        <v>32</v>
      </c>
      <c r="F15" s="48">
        <f>P19</f>
        <v>0</v>
      </c>
      <c r="G15" s="48" t="s">
        <v>36</v>
      </c>
      <c r="H15" s="45" t="s">
        <v>12</v>
      </c>
      <c r="I15" s="80">
        <f>P11</f>
        <v>45.654135338345853</v>
      </c>
      <c r="J15" s="48" t="s">
        <v>36</v>
      </c>
      <c r="K15" s="45" t="s">
        <v>12</v>
      </c>
      <c r="L15" s="80">
        <f>P20</f>
        <v>9.6760975609756095</v>
      </c>
      <c r="M15" s="49" t="s">
        <v>36</v>
      </c>
      <c r="N15" s="64"/>
      <c r="O15" s="82" t="s">
        <v>52</v>
      </c>
      <c r="P15" s="82">
        <v>34800</v>
      </c>
      <c r="R15" s="58" t="s">
        <v>70</v>
      </c>
      <c r="S15" s="69">
        <v>730</v>
      </c>
    </row>
    <row r="16" spans="2:20" hidden="1" x14ac:dyDescent="0.35">
      <c r="B16" s="66"/>
      <c r="C16" s="45"/>
      <c r="D16" s="15"/>
      <c r="E16" s="15"/>
      <c r="F16" s="15"/>
      <c r="G16" s="15"/>
      <c r="H16" s="15"/>
      <c r="I16" s="15"/>
      <c r="J16" s="15"/>
      <c r="K16" s="15"/>
      <c r="L16" s="15"/>
      <c r="M16" s="16"/>
      <c r="N16" s="64"/>
      <c r="O16" s="82" t="s">
        <v>74</v>
      </c>
      <c r="P16" s="85">
        <f>VLOOKUP(C8,R13:S17,2)</f>
        <v>570</v>
      </c>
      <c r="R16" s="58" t="s">
        <v>69</v>
      </c>
      <c r="S16" s="69">
        <v>1035</v>
      </c>
    </row>
    <row r="17" spans="2:21" ht="15" hidden="1" thickBot="1" x14ac:dyDescent="0.4">
      <c r="B17" s="77" t="s">
        <v>30</v>
      </c>
      <c r="C17" s="81">
        <f>C15+F15-I15-L15</f>
        <v>-15.070232899321464</v>
      </c>
      <c r="D17" s="54" t="s">
        <v>36</v>
      </c>
      <c r="E17" s="15"/>
      <c r="F17" s="15"/>
      <c r="G17" s="15"/>
      <c r="H17" s="15"/>
      <c r="I17" s="15"/>
      <c r="J17" s="15"/>
      <c r="K17" s="15"/>
      <c r="L17" s="15"/>
      <c r="M17" s="16"/>
      <c r="N17" s="64"/>
      <c r="O17" s="82" t="s">
        <v>53</v>
      </c>
      <c r="P17" s="82">
        <f>D7</f>
        <v>0</v>
      </c>
      <c r="R17" s="58" t="s">
        <v>68</v>
      </c>
      <c r="S17" s="69">
        <v>903</v>
      </c>
    </row>
    <row r="18" spans="2:21" hidden="1" x14ac:dyDescent="0.35">
      <c r="B18" s="66"/>
      <c r="C18" s="45"/>
      <c r="D18" s="15"/>
      <c r="E18" s="15"/>
      <c r="F18" s="15"/>
      <c r="G18" s="15"/>
      <c r="H18" s="15"/>
      <c r="I18" s="15"/>
      <c r="J18" s="15"/>
      <c r="K18" s="15"/>
      <c r="L18" s="15"/>
      <c r="M18" s="16"/>
      <c r="N18" s="64"/>
      <c r="O18" s="82" t="s">
        <v>54</v>
      </c>
      <c r="P18" s="82">
        <f>D10</f>
        <v>20.5</v>
      </c>
    </row>
    <row r="19" spans="2:21" ht="14.25" hidden="1" customHeight="1" x14ac:dyDescent="0.35">
      <c r="B19" s="67" t="s">
        <v>37</v>
      </c>
      <c r="C19" s="273" t="s">
        <v>41</v>
      </c>
      <c r="D19" s="273"/>
      <c r="E19" s="273"/>
      <c r="F19" s="273"/>
      <c r="G19" s="273"/>
      <c r="H19" s="273"/>
      <c r="I19" s="273"/>
      <c r="J19" s="273"/>
      <c r="K19" s="273"/>
      <c r="L19" s="273"/>
      <c r="M19" s="291"/>
      <c r="N19" s="64"/>
      <c r="O19" s="82" t="s">
        <v>55</v>
      </c>
      <c r="P19" s="82">
        <f>IF(P17=0,0, (P16*P15*(1/P17)/1000)*P10/1000000)</f>
        <v>0</v>
      </c>
    </row>
    <row r="20" spans="2:21" hidden="1" x14ac:dyDescent="0.35">
      <c r="B20" s="68"/>
      <c r="C20" s="274"/>
      <c r="D20" s="274"/>
      <c r="E20" s="274"/>
      <c r="F20" s="274"/>
      <c r="G20" s="274"/>
      <c r="H20" s="274"/>
      <c r="I20" s="274"/>
      <c r="J20" s="274"/>
      <c r="K20" s="274"/>
      <c r="L20" s="274"/>
      <c r="M20" s="292"/>
      <c r="N20" s="65"/>
      <c r="O20" s="82" t="s">
        <v>56</v>
      </c>
      <c r="P20" s="83">
        <f>(P16*P15*(1/P18)/1000)*P10/1000000</f>
        <v>9.6760975609756095</v>
      </c>
    </row>
    <row r="21" spans="2:21" hidden="1" x14ac:dyDescent="0.35"/>
    <row r="23" spans="2:21" ht="18.5" x14ac:dyDescent="0.45">
      <c r="B23" s="76" t="s">
        <v>177</v>
      </c>
      <c r="C23" s="50"/>
      <c r="D23" s="51"/>
      <c r="E23" s="51"/>
      <c r="F23" s="51"/>
      <c r="G23" s="51"/>
      <c r="H23" s="51"/>
      <c r="I23" s="51"/>
      <c r="J23" s="51"/>
      <c r="K23" s="51"/>
      <c r="L23" s="51"/>
      <c r="M23" s="52"/>
      <c r="N23" s="62"/>
      <c r="O23" s="62"/>
      <c r="P23" s="63"/>
    </row>
    <row r="24" spans="2:21" x14ac:dyDescent="0.35">
      <c r="B24" s="66"/>
      <c r="C24" s="45"/>
      <c r="D24" s="15"/>
      <c r="E24" s="15"/>
      <c r="F24" s="15"/>
      <c r="G24" s="15"/>
      <c r="H24" s="15"/>
      <c r="I24" s="15"/>
      <c r="J24" s="15"/>
      <c r="K24" s="15"/>
      <c r="L24" s="15"/>
      <c r="M24" s="16"/>
      <c r="N24" s="64"/>
      <c r="O24" s="265" t="s">
        <v>58</v>
      </c>
      <c r="P24" s="266"/>
      <c r="U24" t="s">
        <v>83</v>
      </c>
    </row>
    <row r="25" spans="2:21" x14ac:dyDescent="0.35">
      <c r="B25" s="66" t="s">
        <v>23</v>
      </c>
      <c r="C25" s="89" t="s">
        <v>28</v>
      </c>
      <c r="D25" s="87">
        <f>D6</f>
        <v>0.8</v>
      </c>
      <c r="E25" s="15" t="s">
        <v>29</v>
      </c>
      <c r="F25" s="15"/>
      <c r="G25" s="15"/>
      <c r="H25" s="15"/>
      <c r="I25" s="15"/>
      <c r="J25" s="15"/>
      <c r="K25" s="15"/>
      <c r="L25" s="15"/>
      <c r="M25" s="16"/>
      <c r="N25" s="64"/>
      <c r="O25" s="82" t="s">
        <v>46</v>
      </c>
      <c r="P25" s="82">
        <f>VLOOKUP(C27, R6:T10,3, )</f>
        <v>1288</v>
      </c>
    </row>
    <row r="26" spans="2:21" x14ac:dyDescent="0.35">
      <c r="B26" s="66" t="s">
        <v>24</v>
      </c>
      <c r="C26" s="89" t="s">
        <v>22</v>
      </c>
      <c r="D26" s="88">
        <v>13</v>
      </c>
      <c r="E26" s="15" t="s">
        <v>38</v>
      </c>
      <c r="F26" s="15"/>
      <c r="G26" s="15"/>
      <c r="H26" s="15"/>
      <c r="I26" s="15"/>
      <c r="J26" s="15"/>
      <c r="K26" s="15"/>
      <c r="L26" s="15"/>
      <c r="M26" s="16"/>
      <c r="N26" s="64"/>
      <c r="O26" s="82" t="s">
        <v>45</v>
      </c>
      <c r="P26" s="82">
        <v>33000</v>
      </c>
    </row>
    <row r="27" spans="2:21" x14ac:dyDescent="0.35">
      <c r="B27" s="66" t="s">
        <v>57</v>
      </c>
      <c r="C27" s="100" t="str">
        <f>'Counting Savings_CURRENT'!C24</f>
        <v>5 (Marion, IL)</v>
      </c>
      <c r="D27" s="89"/>
      <c r="E27" s="15"/>
      <c r="F27" s="15"/>
      <c r="G27" s="15"/>
      <c r="H27" s="15"/>
      <c r="I27" s="15"/>
      <c r="J27" s="15"/>
      <c r="K27" s="15"/>
      <c r="L27" s="15"/>
      <c r="M27" s="16"/>
      <c r="N27" s="64"/>
      <c r="O27" s="82" t="s">
        <v>47</v>
      </c>
      <c r="P27" s="82">
        <f>D28</f>
        <v>8.1999999999999993</v>
      </c>
    </row>
    <row r="28" spans="2:21" x14ac:dyDescent="0.35">
      <c r="B28" s="236" t="s">
        <v>25</v>
      </c>
      <c r="C28" s="164" t="s">
        <v>27</v>
      </c>
      <c r="D28" s="237">
        <v>8.1999999999999993</v>
      </c>
      <c r="E28" s="164" t="s">
        <v>50</v>
      </c>
      <c r="F28" s="238" t="s">
        <v>98</v>
      </c>
      <c r="G28" s="164"/>
      <c r="H28" s="164"/>
      <c r="I28" s="164"/>
      <c r="J28" s="15"/>
      <c r="K28" s="15"/>
      <c r="L28" s="15"/>
      <c r="M28" s="16"/>
      <c r="N28" s="64"/>
      <c r="O28" s="82" t="s">
        <v>48</v>
      </c>
      <c r="P28" s="82">
        <v>1</v>
      </c>
    </row>
    <row r="29" spans="2:21" x14ac:dyDescent="0.35">
      <c r="B29" s="236" t="s">
        <v>26</v>
      </c>
      <c r="C29" s="164" t="s">
        <v>27</v>
      </c>
      <c r="D29" s="237">
        <v>14</v>
      </c>
      <c r="E29" s="164" t="s">
        <v>38</v>
      </c>
      <c r="F29" s="238" t="s">
        <v>99</v>
      </c>
      <c r="G29" s="164"/>
      <c r="H29" s="164"/>
      <c r="I29" s="164"/>
      <c r="J29" s="15"/>
      <c r="K29" s="15"/>
      <c r="L29" s="15"/>
      <c r="M29" s="16"/>
      <c r="N29" s="64"/>
      <c r="O29" s="82" t="s">
        <v>60</v>
      </c>
      <c r="P29" s="82">
        <f>'Counting Savings_CURRENT'!H24</f>
        <v>10474.84</v>
      </c>
    </row>
    <row r="30" spans="2:21" x14ac:dyDescent="0.35">
      <c r="B30" s="66"/>
      <c r="C30" s="45"/>
      <c r="D30" s="15"/>
      <c r="E30" s="15"/>
      <c r="F30" s="15"/>
      <c r="G30" s="15"/>
      <c r="H30" s="15"/>
      <c r="I30" s="15"/>
      <c r="J30" s="15"/>
      <c r="K30" s="15"/>
      <c r="L30" s="15"/>
      <c r="M30" s="16"/>
      <c r="N30" s="64"/>
      <c r="O30" s="82" t="s">
        <v>152</v>
      </c>
      <c r="P30" s="82">
        <f>((P25*P26*(1/(P27*P28*(1-0.1))))/1000)*P29/1000000</f>
        <v>60.328265495934964</v>
      </c>
      <c r="Q30" t="s">
        <v>124</v>
      </c>
    </row>
    <row r="31" spans="2:21" x14ac:dyDescent="0.35">
      <c r="B31" s="275" t="s">
        <v>30</v>
      </c>
      <c r="C31" s="276" t="s">
        <v>31</v>
      </c>
      <c r="D31" s="276"/>
      <c r="E31" s="277" t="s">
        <v>32</v>
      </c>
      <c r="F31" s="269" t="s">
        <v>33</v>
      </c>
      <c r="G31" s="269"/>
      <c r="H31" s="277" t="s">
        <v>12</v>
      </c>
      <c r="I31" s="267" t="s">
        <v>150</v>
      </c>
      <c r="J31" s="267"/>
      <c r="K31" s="268" t="s">
        <v>12</v>
      </c>
      <c r="L31" s="269" t="s">
        <v>151</v>
      </c>
      <c r="M31" s="270"/>
      <c r="N31" s="64"/>
      <c r="O31" s="82" t="s">
        <v>153</v>
      </c>
      <c r="P31" s="83">
        <f>((P25*P26*(1/(P27*P28*(1-0.1))))/1000)</f>
        <v>5759.3495934959356</v>
      </c>
      <c r="Q31" t="s">
        <v>17</v>
      </c>
    </row>
    <row r="32" spans="2:21" x14ac:dyDescent="0.35">
      <c r="B32" s="275"/>
      <c r="C32" s="276"/>
      <c r="D32" s="276"/>
      <c r="E32" s="277"/>
      <c r="F32" s="269"/>
      <c r="G32" s="269"/>
      <c r="H32" s="277"/>
      <c r="I32" s="267"/>
      <c r="J32" s="267"/>
      <c r="K32" s="268"/>
      <c r="L32" s="269"/>
      <c r="M32" s="270"/>
      <c r="N32" s="64"/>
      <c r="O32" s="150" t="s">
        <v>122</v>
      </c>
      <c r="P32" s="82">
        <f>P25*P26/1000000</f>
        <v>42.503999999999998</v>
      </c>
      <c r="Q32" t="s">
        <v>124</v>
      </c>
    </row>
    <row r="33" spans="2:17" x14ac:dyDescent="0.35">
      <c r="B33" s="66"/>
      <c r="C33" s="55" t="s">
        <v>84</v>
      </c>
      <c r="D33" s="45"/>
      <c r="E33" s="45" t="s">
        <v>32</v>
      </c>
      <c r="F33" s="55" t="s">
        <v>85</v>
      </c>
      <c r="G33" s="45"/>
      <c r="H33" s="45" t="s">
        <v>12</v>
      </c>
      <c r="I33" s="55" t="s">
        <v>86</v>
      </c>
      <c r="J33" s="45"/>
      <c r="K33" s="89" t="s">
        <v>12</v>
      </c>
      <c r="L33" s="55" t="s">
        <v>87</v>
      </c>
      <c r="M33" s="16"/>
      <c r="N33" s="64"/>
      <c r="O33" s="82" t="s">
        <v>29</v>
      </c>
      <c r="P33" s="84">
        <f>D25</f>
        <v>0.8</v>
      </c>
    </row>
    <row r="34" spans="2:17" x14ac:dyDescent="0.35">
      <c r="B34" s="66" t="s">
        <v>94</v>
      </c>
      <c r="C34" s="78">
        <f>P34</f>
        <v>53.129999999999995</v>
      </c>
      <c r="D34" s="47" t="s">
        <v>36</v>
      </c>
      <c r="E34" s="45" t="s">
        <v>32</v>
      </c>
      <c r="F34" s="80">
        <f>P39</f>
        <v>25.320427853538462</v>
      </c>
      <c r="G34" s="48" t="s">
        <v>36</v>
      </c>
      <c r="H34" s="45" t="s">
        <v>12</v>
      </c>
      <c r="I34" s="80">
        <f>P30</f>
        <v>60.328265495934964</v>
      </c>
      <c r="J34" s="48" t="s">
        <v>36</v>
      </c>
      <c r="K34" s="45" t="s">
        <v>12</v>
      </c>
      <c r="L34" s="80">
        <f>P40</f>
        <v>23.511825863999999</v>
      </c>
      <c r="M34" s="49" t="s">
        <v>36</v>
      </c>
      <c r="N34" s="64"/>
      <c r="O34" s="82" t="s">
        <v>51</v>
      </c>
      <c r="P34" s="82">
        <f>P32/P33</f>
        <v>53.129999999999995</v>
      </c>
      <c r="Q34" t="s">
        <v>124</v>
      </c>
    </row>
    <row r="35" spans="2:17" x14ac:dyDescent="0.35">
      <c r="B35" s="66" t="s">
        <v>95</v>
      </c>
      <c r="C35" s="45">
        <v>40.299999999999997</v>
      </c>
      <c r="D35" s="15"/>
      <c r="E35" s="15"/>
      <c r="F35" s="15">
        <f>F34/(P29/3412)</f>
        <v>8.2476963692307699</v>
      </c>
      <c r="G35" s="15" t="s">
        <v>36</v>
      </c>
      <c r="H35" s="15"/>
      <c r="I35" s="15">
        <f>I34/(P29/3412)</f>
        <v>19.650900813008132</v>
      </c>
      <c r="J35" s="15" t="s">
        <v>36</v>
      </c>
      <c r="K35" s="15"/>
      <c r="L35" s="15">
        <f>L34/(P29/3412)</f>
        <v>7.6585751999999996</v>
      </c>
      <c r="M35" s="16" t="s">
        <v>36</v>
      </c>
      <c r="N35" s="64"/>
      <c r="O35" s="82" t="s">
        <v>52</v>
      </c>
      <c r="P35" s="82">
        <v>34800</v>
      </c>
    </row>
    <row r="36" spans="2:17" x14ac:dyDescent="0.35">
      <c r="B36" s="233"/>
      <c r="C36" s="234"/>
      <c r="D36" s="235"/>
      <c r="E36" s="15"/>
      <c r="F36" s="15"/>
      <c r="G36" s="15"/>
      <c r="H36" s="15"/>
      <c r="I36" s="15"/>
      <c r="J36" s="15"/>
      <c r="K36" s="15"/>
      <c r="L36" s="15"/>
      <c r="M36" s="16"/>
      <c r="N36" s="64"/>
      <c r="O36" s="82" t="s">
        <v>74</v>
      </c>
      <c r="P36" s="85">
        <f>VLOOKUP(C27,R13:S17,2)</f>
        <v>903</v>
      </c>
    </row>
    <row r="37" spans="2:17" x14ac:dyDescent="0.35">
      <c r="B37" s="178"/>
      <c r="C37" s="45"/>
      <c r="D37" s="15"/>
      <c r="E37" s="15"/>
      <c r="F37" s="15"/>
      <c r="G37" s="15"/>
      <c r="H37" s="15"/>
      <c r="I37" s="15"/>
      <c r="J37" s="15"/>
      <c r="K37" s="15"/>
      <c r="L37" s="15"/>
      <c r="M37" s="16"/>
      <c r="N37" s="64"/>
      <c r="O37" s="82" t="s">
        <v>53</v>
      </c>
      <c r="P37" s="82">
        <f>D26</f>
        <v>13</v>
      </c>
    </row>
    <row r="38" spans="2:17" ht="14.25" customHeight="1" x14ac:dyDescent="0.35">
      <c r="B38" s="233"/>
      <c r="C38" s="382" t="s">
        <v>183</v>
      </c>
      <c r="D38" s="382"/>
      <c r="E38" s="382"/>
      <c r="F38" s="382"/>
      <c r="G38" s="382"/>
      <c r="H38" s="382"/>
      <c r="I38" s="382"/>
      <c r="J38" s="382"/>
      <c r="K38" s="231"/>
      <c r="L38" s="231"/>
      <c r="M38" s="231"/>
      <c r="N38" s="64"/>
      <c r="O38" s="82" t="s">
        <v>54</v>
      </c>
      <c r="P38" s="82">
        <f>D29</f>
        <v>14</v>
      </c>
    </row>
    <row r="39" spans="2:17" x14ac:dyDescent="0.35">
      <c r="B39" s="178"/>
      <c r="C39" s="382"/>
      <c r="D39" s="382"/>
      <c r="E39" s="382"/>
      <c r="F39" s="382"/>
      <c r="G39" s="382"/>
      <c r="H39" s="382"/>
      <c r="I39" s="382"/>
      <c r="J39" s="382"/>
      <c r="K39" s="231"/>
      <c r="L39" s="231"/>
      <c r="M39" s="231"/>
      <c r="N39" s="65"/>
      <c r="O39" s="82" t="s">
        <v>55</v>
      </c>
      <c r="P39" s="82">
        <f>(P36*P35*(1/P37)/1000)*P29/1000000</f>
        <v>25.320427853538462</v>
      </c>
    </row>
    <row r="40" spans="2:17" x14ac:dyDescent="0.35">
      <c r="B40" s="178"/>
      <c r="C40" s="382"/>
      <c r="D40" s="382"/>
      <c r="E40" s="382"/>
      <c r="F40" s="382"/>
      <c r="G40" s="382"/>
      <c r="H40" s="382"/>
      <c r="I40" s="382"/>
      <c r="J40" s="382"/>
      <c r="K40" s="15"/>
      <c r="L40" s="15"/>
      <c r="M40" s="15"/>
      <c r="O40" s="82" t="s">
        <v>56</v>
      </c>
      <c r="P40" s="83">
        <f>(P36*P35*(1/P38)/1000)*P29/1000000</f>
        <v>23.511825863999999</v>
      </c>
    </row>
    <row r="41" spans="2:17" x14ac:dyDescent="0.35">
      <c r="B41" s="99"/>
      <c r="C41" s="382"/>
      <c r="D41" s="382"/>
      <c r="E41" s="382"/>
      <c r="F41" s="382"/>
      <c r="G41" s="382"/>
      <c r="H41" s="382"/>
      <c r="I41" s="382"/>
      <c r="J41" s="382"/>
      <c r="K41" s="15"/>
      <c r="L41" s="15"/>
      <c r="M41" s="15"/>
    </row>
    <row r="43" spans="2:17" x14ac:dyDescent="0.35">
      <c r="O43">
        <f>((903*34800*(1/(13*(1-0.1))-1/(15*1.011*(1-0))/1000)+((1288*33000*(1/(8.2*(1-0.1))-1/(9*1.001*(1-0))))/1000)))</f>
        <v>2684815.3885495942</v>
      </c>
    </row>
    <row r="48" spans="2:17" x14ac:dyDescent="0.35">
      <c r="K48" s="15"/>
    </row>
  </sheetData>
  <mergeCells count="23">
    <mergeCell ref="C38:J41"/>
    <mergeCell ref="C19:M20"/>
    <mergeCell ref="O24:P24"/>
    <mergeCell ref="I31:J32"/>
    <mergeCell ref="K31:K32"/>
    <mergeCell ref="L31:M32"/>
    <mergeCell ref="B31:B32"/>
    <mergeCell ref="C31:D32"/>
    <mergeCell ref="E31:E32"/>
    <mergeCell ref="F31:G32"/>
    <mergeCell ref="H31:H32"/>
    <mergeCell ref="D2:E2"/>
    <mergeCell ref="F2:G2"/>
    <mergeCell ref="R4:T4"/>
    <mergeCell ref="O5:P5"/>
    <mergeCell ref="B12:B13"/>
    <mergeCell ref="C12:D13"/>
    <mergeCell ref="E12:E13"/>
    <mergeCell ref="F12:G13"/>
    <mergeCell ref="H12:H13"/>
    <mergeCell ref="I12:J13"/>
    <mergeCell ref="K12:K13"/>
    <mergeCell ref="L12:M13"/>
  </mergeCells>
  <dataValidations count="1">
    <dataValidation type="list" allowBlank="1" showInputMessage="1" showErrorMessage="1" sqref="C8 C27" xr:uid="{00000000-0002-0000-0500-000000000000}">
      <formula1>$R$6:$R$10</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Background</vt:lpstr>
      <vt:lpstr>Screening Criteria-80AFUE</vt:lpstr>
      <vt:lpstr>Screening Criteria-95AFUE</vt:lpstr>
      <vt:lpstr>Counting Savings_CURRENT</vt:lpstr>
      <vt:lpstr>Counting Savings OPTONS</vt:lpstr>
      <vt:lpstr>Baseline ASHP</vt:lpstr>
    </vt:vector>
  </TitlesOfParts>
  <Company>WEC Energy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Manjarres, Thomas D</dc:creator>
  <cp:lastModifiedBy>CJ Consulting</cp:lastModifiedBy>
  <dcterms:created xsi:type="dcterms:W3CDTF">2021-05-07T18:49:31Z</dcterms:created>
  <dcterms:modified xsi:type="dcterms:W3CDTF">2021-05-24T14:39:10Z</dcterms:modified>
</cp:coreProperties>
</file>