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2021/Fuel Conversion Working Group/Meetings 3-4 - May/May 10 Meeting/"/>
    </mc:Choice>
  </mc:AlternateContent>
  <xr:revisionPtr revIDLastSave="0" documentId="8_{831CB9E7-701A-4E49-994D-FE7DBC2B0BB9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Backgorund" sheetId="2" r:id="rId1"/>
    <sheet name="ASHP-Screenig Criteria" sheetId="5" r:id="rId2"/>
    <sheet name="ASHP-Counting Savings" sheetId="6" r:id="rId3"/>
    <sheet name="Baseline ASHP consumption" sheetId="7" state="hidden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7" l="1"/>
  <c r="P36" i="7"/>
  <c r="P35" i="7"/>
  <c r="P32" i="7"/>
  <c r="P31" i="7"/>
  <c r="P27" i="7"/>
  <c r="P25" i="7"/>
  <c r="P30" i="7" s="1"/>
  <c r="I34" i="7" s="1"/>
  <c r="I35" i="7" s="1"/>
  <c r="D25" i="7"/>
  <c r="P19" i="7"/>
  <c r="F15" i="7" s="1"/>
  <c r="P18" i="7"/>
  <c r="P17" i="7"/>
  <c r="P16" i="7"/>
  <c r="P20" i="7" s="1"/>
  <c r="L15" i="7" s="1"/>
  <c r="P13" i="7"/>
  <c r="P12" i="7"/>
  <c r="P14" i="7" s="1"/>
  <c r="C15" i="7" s="1"/>
  <c r="P8" i="7"/>
  <c r="P6" i="7"/>
  <c r="P11" i="7" s="1"/>
  <c r="I15" i="7" s="1"/>
  <c r="P6" i="6"/>
  <c r="P8" i="6"/>
  <c r="P12" i="6"/>
  <c r="P13" i="6"/>
  <c r="P16" i="6"/>
  <c r="P17" i="6"/>
  <c r="P19" i="6" s="1"/>
  <c r="F15" i="6" s="1"/>
  <c r="P18" i="6"/>
  <c r="P35" i="6"/>
  <c r="P31" i="6"/>
  <c r="P25" i="6"/>
  <c r="P37" i="6"/>
  <c r="D29" i="6"/>
  <c r="D28" i="6"/>
  <c r="P27" i="6" s="1"/>
  <c r="D25" i="6"/>
  <c r="P74" i="5"/>
  <c r="P55" i="5"/>
  <c r="P36" i="5"/>
  <c r="P17" i="5"/>
  <c r="P70" i="5"/>
  <c r="P51" i="5"/>
  <c r="P32" i="5"/>
  <c r="P13" i="5"/>
  <c r="D46" i="5"/>
  <c r="P56" i="5" s="1"/>
  <c r="D30" i="5"/>
  <c r="D49" i="5" s="1"/>
  <c r="D29" i="5"/>
  <c r="P28" i="5" s="1"/>
  <c r="D26" i="5"/>
  <c r="P33" i="5" s="1"/>
  <c r="C66" i="5"/>
  <c r="C47" i="5"/>
  <c r="P64" i="5"/>
  <c r="P45" i="5"/>
  <c r="C28" i="5"/>
  <c r="P26" i="5"/>
  <c r="P7" i="5"/>
  <c r="P37" i="5"/>
  <c r="P14" i="5"/>
  <c r="P19" i="5"/>
  <c r="P18" i="5"/>
  <c r="P20" i="5" s="1"/>
  <c r="F16" i="5" s="1"/>
  <c r="P9" i="5"/>
  <c r="D10" i="2"/>
  <c r="D9" i="2"/>
  <c r="P38" i="7" l="1"/>
  <c r="F34" i="7" s="1"/>
  <c r="F35" i="7" s="1"/>
  <c r="P15" i="5"/>
  <c r="C16" i="5" s="1"/>
  <c r="D65" i="5"/>
  <c r="P75" i="5" s="1"/>
  <c r="P33" i="7"/>
  <c r="C34" i="7" s="1"/>
  <c r="C36" i="7" s="1"/>
  <c r="P39" i="7"/>
  <c r="L34" i="7" s="1"/>
  <c r="L35" i="7" s="1"/>
  <c r="P20" i="6"/>
  <c r="L15" i="6" s="1"/>
  <c r="P14" i="6"/>
  <c r="C15" i="6" s="1"/>
  <c r="P11" i="6"/>
  <c r="I15" i="6" s="1"/>
  <c r="C17" i="7"/>
  <c r="P39" i="6"/>
  <c r="P38" i="6"/>
  <c r="P40" i="6" s="1"/>
  <c r="L35" i="6" s="1"/>
  <c r="P30" i="6"/>
  <c r="D45" i="5"/>
  <c r="P52" i="5" s="1"/>
  <c r="P53" i="5" s="1"/>
  <c r="C54" i="5" s="1"/>
  <c r="P57" i="5"/>
  <c r="P59" i="5" s="1"/>
  <c r="L54" i="5" s="1"/>
  <c r="D68" i="5"/>
  <c r="P76" i="5" s="1"/>
  <c r="P78" i="5" s="1"/>
  <c r="L73" i="5" s="1"/>
  <c r="D48" i="5"/>
  <c r="P21" i="5"/>
  <c r="L16" i="5" s="1"/>
  <c r="P38" i="5"/>
  <c r="P40" i="5" s="1"/>
  <c r="L35" i="5" s="1"/>
  <c r="P77" i="5"/>
  <c r="F73" i="5" s="1"/>
  <c r="P39" i="5"/>
  <c r="F35" i="5" s="1"/>
  <c r="P12" i="5"/>
  <c r="I16" i="5" s="1"/>
  <c r="P32" i="6"/>
  <c r="P33" i="6" s="1"/>
  <c r="P34" i="5"/>
  <c r="C35" i="5" s="1"/>
  <c r="P58" i="5"/>
  <c r="F54" i="5" s="1"/>
  <c r="P31" i="5"/>
  <c r="I35" i="5" s="1"/>
  <c r="D64" i="5" l="1"/>
  <c r="P71" i="5" s="1"/>
  <c r="P72" i="5" s="1"/>
  <c r="C73" i="5" s="1"/>
  <c r="L34" i="6"/>
  <c r="F34" i="6"/>
  <c r="P41" i="6" s="1"/>
  <c r="F35" i="6"/>
  <c r="P42" i="6" s="1"/>
  <c r="I34" i="6"/>
  <c r="I35" i="6"/>
  <c r="C35" i="6"/>
  <c r="C38" i="6" s="1"/>
  <c r="C34" i="6"/>
  <c r="C37" i="6" s="1"/>
  <c r="C17" i="6"/>
  <c r="C18" i="5"/>
  <c r="P47" i="5"/>
  <c r="P50" i="5" s="1"/>
  <c r="I54" i="5" s="1"/>
  <c r="C56" i="5" s="1"/>
  <c r="D67" i="5"/>
  <c r="P66" i="5" s="1"/>
  <c r="P69" i="5" s="1"/>
  <c r="I73" i="5" s="1"/>
  <c r="C75" i="5" s="1"/>
  <c r="C78" i="5" s="1"/>
  <c r="C37" i="5"/>
</calcChain>
</file>

<file path=xl/sharedStrings.xml><?xml version="1.0" encoding="utf-8"?>
<sst xmlns="http://schemas.openxmlformats.org/spreadsheetml/2006/main" count="567" uniqueCount="125">
  <si>
    <t>Background:</t>
  </si>
  <si>
    <t>Natural gas source-to-site ratio</t>
  </si>
  <si>
    <t>Meaning</t>
  </si>
  <si>
    <r>
      <t xml:space="preserve">Source savings = (pre-intervention source consumption) - (post-intervention source energy consumption)
Source energy savings test:
From IL TRM v 9.0 "If source energy savings calculated above is </t>
    </r>
    <r>
      <rPr>
        <b/>
        <sz val="11"/>
        <color theme="1"/>
        <rFont val="Calibri"/>
        <family val="2"/>
        <scheme val="minor"/>
      </rPr>
      <t xml:space="preserve">positive, </t>
    </r>
    <r>
      <rPr>
        <sz val="11"/>
        <color theme="1"/>
        <rFont val="Calibri"/>
        <family val="2"/>
        <scheme val="minor"/>
      </rPr>
      <t>the measure is eligible"
source-to-site ratio = total energy input at the source in Btus / energy delivered to the consumer in Btus</t>
    </r>
  </si>
  <si>
    <t>Electric source-to-site ratio - ComEd customers</t>
  </si>
  <si>
    <t>Electric source-to-site ratio - Ameren customers</t>
  </si>
  <si>
    <t xml:space="preserve">1 kWh = </t>
  </si>
  <si>
    <t>Btu</t>
  </si>
  <si>
    <t>Btu/kWh</t>
  </si>
  <si>
    <t>Heat Rate</t>
  </si>
  <si>
    <t xml:space="preserve">1 therm = </t>
  </si>
  <si>
    <t>For every Btu of natural gas consumed by the customer, 1.01 Btu of energy are required at the source.</t>
  </si>
  <si>
    <t>-</t>
  </si>
  <si>
    <t>For every Btu of electricity consumed by the customer, 3.16 Btu of energy are required at the source.</t>
  </si>
  <si>
    <t>For every Btu of electricity consumed by the customer, 3.07 Btu of energy are required at the source.</t>
  </si>
  <si>
    <t xml:space="preserve">Conversions  </t>
  </si>
  <si>
    <t>Source-to-site ratios as of 2019 (most recent EPA data)</t>
  </si>
  <si>
    <t>kWh</t>
  </si>
  <si>
    <t>Example:</t>
  </si>
  <si>
    <t>Citation:</t>
  </si>
  <si>
    <t>ENERGY STAR</t>
  </si>
  <si>
    <t>none</t>
  </si>
  <si>
    <t>central A/C</t>
  </si>
  <si>
    <t>Existing heating system:</t>
  </si>
  <si>
    <t>Existing cooling system:</t>
  </si>
  <si>
    <t>New heating system:</t>
  </si>
  <si>
    <t>New cooling system:</t>
  </si>
  <si>
    <t>Electric ASHP</t>
  </si>
  <si>
    <t>Gas furnace</t>
  </si>
  <si>
    <t>AFUE</t>
  </si>
  <si>
    <t xml:space="preserve">Source energy savings = </t>
  </si>
  <si>
    <t>energy consumed by existing heating system</t>
  </si>
  <si>
    <t>+</t>
  </si>
  <si>
    <t>energy consumed by existng cooling system</t>
  </si>
  <si>
    <t>energy consumed by new heating system</t>
  </si>
  <si>
    <t>energy consumed by new cooling system</t>
  </si>
  <si>
    <t>MMBtu</t>
  </si>
  <si>
    <t>Fuel switch eligibility:</t>
  </si>
  <si>
    <t>SEER</t>
  </si>
  <si>
    <t xml:space="preserve">SITE energy savings = </t>
  </si>
  <si>
    <t xml:space="preserve">Scenario 2: Existing IL TRM Measure 5.3.1 Air Source Heat Pump (post erratum fix) </t>
  </si>
  <si>
    <t xml:space="preserve">Scenario 3: Air Source Heat Pump Measure - Source energy included for existing natural gas heating system </t>
  </si>
  <si>
    <t xml:space="preserve">Scenario 1: Existing IL TRM Measure 5.3.1 Air Source Heat Pump (post erratum fix) </t>
  </si>
  <si>
    <r>
      <t xml:space="preserve">This measure results in negative source energy savings.  This means more energy will be required to meet the heating and cooling end uses </t>
    </r>
    <r>
      <rPr>
        <b/>
        <i/>
        <sz val="11"/>
        <color theme="1"/>
        <rFont val="Calibri"/>
        <family val="2"/>
        <scheme val="minor"/>
      </rPr>
      <t xml:space="preserve">after </t>
    </r>
    <r>
      <rPr>
        <b/>
        <sz val="11"/>
        <color theme="1"/>
        <rFont val="Calibri"/>
        <family val="2"/>
        <scheme val="minor"/>
      </rPr>
      <t>intervention by the EE program than what is currently required to meet the end uses.</t>
    </r>
  </si>
  <si>
    <t>This measure is eligible according to the SITE energy savings criteria.</t>
  </si>
  <si>
    <t>site energy</t>
  </si>
  <si>
    <t>Color code:</t>
  </si>
  <si>
    <t>source energy</t>
  </si>
  <si>
    <t>Capacity_heating</t>
  </si>
  <si>
    <t>FLHheat_ASHP</t>
  </si>
  <si>
    <t>HSPF_ee</t>
  </si>
  <si>
    <t>HSPF_adj</t>
  </si>
  <si>
    <t>ASHPSourceHeat</t>
  </si>
  <si>
    <t>HSPF</t>
  </si>
  <si>
    <t xml:space="preserve">GasHeatReplaced = </t>
  </si>
  <si>
    <t>Capacity_cooling</t>
  </si>
  <si>
    <t>seer_base</t>
  </si>
  <si>
    <t>seer_ee</t>
  </si>
  <si>
    <t>existing cooling consumption</t>
  </si>
  <si>
    <t>new cooling system consumption</t>
  </si>
  <si>
    <t xml:space="preserve">Location: </t>
  </si>
  <si>
    <t>TRM inputs</t>
  </si>
  <si>
    <t>FLHheat_furnace_Marion</t>
  </si>
  <si>
    <t>FLHheat_ASHP_Marion</t>
  </si>
  <si>
    <t>Hgrid (Illustrative example only)</t>
  </si>
  <si>
    <t>Climate Zone (city based upon)</t>
  </si>
  <si>
    <t>Full Load Hours by Location and Heating System</t>
  </si>
  <si>
    <t>Gas Heating FLH</t>
  </si>
  <si>
    <t>Air Source Heat Pump FLH</t>
  </si>
  <si>
    <t xml:space="preserve">Climate Zone </t>
  </si>
  <si>
    <t>FLH Cooling</t>
  </si>
  <si>
    <t>Scenario 4: Air Source Heat Pump Measure - SITE energy as screening criteria</t>
  </si>
  <si>
    <t>user input</t>
  </si>
  <si>
    <t>5 (Marion, IL)</t>
  </si>
  <si>
    <t>4 (Belleville, IL)</t>
  </si>
  <si>
    <t>3 (Springfield, IL)</t>
  </si>
  <si>
    <t>1 (Rockford, IL)</t>
  </si>
  <si>
    <t>2 (Chicago, IL)</t>
  </si>
  <si>
    <t>FLHheat_furnace</t>
  </si>
  <si>
    <t>FLHcool</t>
  </si>
  <si>
    <t>Btu/hr</t>
  </si>
  <si>
    <t>Effect of screening criteria on measure eligibility and counting savings (4 scenarios)</t>
  </si>
  <si>
    <t>Source: U.S. EPA</t>
  </si>
  <si>
    <t xml:space="preserve">Existing IL TRM Measure 5.3.1 Air Source Heat Pump (post erratum fix) </t>
  </si>
  <si>
    <t>This measure results in positive source energy savings.  This measure reduces total energy consumption and therefore is eligible</t>
  </si>
  <si>
    <t>Measure supported by:</t>
  </si>
  <si>
    <t>Electric utility only</t>
  </si>
  <si>
    <t>Electric and gas utility</t>
  </si>
  <si>
    <t>Gas utility only</t>
  </si>
  <si>
    <t>Electric utility claims:</t>
  </si>
  <si>
    <t>Gas utility claims:</t>
  </si>
  <si>
    <t>A</t>
  </si>
  <si>
    <t>B</t>
  </si>
  <si>
    <t>C</t>
  </si>
  <si>
    <t>D</t>
  </si>
  <si>
    <t xml:space="preserve">SITE energy claimable savings = </t>
  </si>
  <si>
    <t>source energy claimable savings =</t>
  </si>
  <si>
    <t>measure does not save source energy.</t>
  </si>
  <si>
    <t>Claiming source energy savings - explanation of values</t>
  </si>
  <si>
    <t>total source energy savings</t>
  </si>
  <si>
    <t>values</t>
  </si>
  <si>
    <t>reduced gas consumption - source energy consumption of baseline ASHP in heating mode</t>
  </si>
  <si>
    <t>Coling savings + source energy savings from code minimum ASHP to efficienc ASHP in heating mode</t>
  </si>
  <si>
    <t>9,955 kWh
(34 MMBtu)</t>
  </si>
  <si>
    <t>total site energy savings</t>
  </si>
  <si>
    <t>cooling savings + heating savings from code minimum ASHP to efficient ASHP in heating mode</t>
  </si>
  <si>
    <t>176 kWh
(0.6 MMBtu)</t>
  </si>
  <si>
    <t>6 therms
(0.6 MMBtu)</t>
  </si>
  <si>
    <t>-334 therms
(-33.4 MMBtu)</t>
  </si>
  <si>
    <t>Source energy savings calculation:</t>
  </si>
  <si>
    <t>Site energy savings calculation:</t>
  </si>
  <si>
    <t>7,911 kWh
(27 MMBtu)</t>
  </si>
  <si>
    <t>Cooling savings + SITE energy savings from code minimum ASHP to efficient ASHP in heating mode</t>
  </si>
  <si>
    <t>Source energy savings calc:</t>
  </si>
  <si>
    <t>Site energy savings calc:</t>
  </si>
  <si>
    <t>reduced gas consumption - Site energy consumption of baseline ASHP in heating mode</t>
  </si>
  <si>
    <t>3,397
(12 MMBtu)</t>
  </si>
  <si>
    <t>270 therms
(27 MMBtu)</t>
  </si>
  <si>
    <t>150 therms
(15 MMBtu)</t>
  </si>
  <si>
    <t xml:space="preserve">Current IL TRM methodology </t>
  </si>
  <si>
    <t>Claiming site energy savings - explanation of values</t>
  </si>
  <si>
    <t>45x increase in claimable kWh</t>
  </si>
  <si>
    <t>45x increase in claimable therms</t>
  </si>
  <si>
    <t>--&gt; code minimum heating effriciency</t>
  </si>
  <si>
    <t>--&gt; code minimum cooling efficiency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</si>
</sst>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000000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9" fillId="0" borderId="0" applyNumberFormat="0" applyFill="0" applyBorder="0" applyAlignment="0" applyProtection="0"/>
  </cellStyleXfs>
  <cellXfs count="210">
    <xf numFmtId="0" fontId="0" fillId="0" borderId="0" xfId="0"/>
    <xf numFmtId="9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0" borderId="10" xfId="0" applyBorder="1"/>
    <xf numFmtId="0" fontId="0" fillId="3" borderId="8" xfId="0" applyFill="1" applyBorder="1"/>
    <xf numFmtId="0" fontId="0" fillId="3" borderId="10" xfId="0" applyFill="1" applyBorder="1"/>
    <xf numFmtId="3" fontId="0" fillId="3" borderId="0" xfId="0" applyNumberFormat="1" applyFill="1" applyBorder="1"/>
    <xf numFmtId="0" fontId="0" fillId="0" borderId="0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4" borderId="13" xfId="0" applyFill="1" applyBorder="1"/>
    <xf numFmtId="0" fontId="0" fillId="4" borderId="14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165" fontId="0" fillId="5" borderId="20" xfId="1" applyNumberFormat="1" applyFont="1" applyFill="1" applyBorder="1"/>
    <xf numFmtId="165" fontId="0" fillId="5" borderId="17" xfId="1" applyNumberFormat="1" applyFont="1" applyFill="1" applyBorder="1"/>
    <xf numFmtId="0" fontId="0" fillId="5" borderId="11" xfId="0" applyFill="1" applyBorder="1"/>
    <xf numFmtId="0" fontId="0" fillId="5" borderId="23" xfId="0" applyFill="1" applyBorder="1"/>
    <xf numFmtId="0" fontId="0" fillId="0" borderId="0" xfId="0" applyAlignment="1">
      <alignment horizontal="right"/>
    </xf>
    <xf numFmtId="0" fontId="5" fillId="0" borderId="0" xfId="0" applyFont="1" applyAlignment="1">
      <alignment vertical="center"/>
    </xf>
    <xf numFmtId="0" fontId="0" fillId="0" borderId="9" xfId="0" applyBorder="1" applyAlignment="1">
      <alignment horizontal="center"/>
    </xf>
    <xf numFmtId="0" fontId="6" fillId="4" borderId="12" xfId="0" applyFont="1" applyFill="1" applyBorder="1"/>
    <xf numFmtId="0" fontId="7" fillId="4" borderId="13" xfId="0" applyFont="1" applyFill="1" applyBorder="1"/>
    <xf numFmtId="0" fontId="0" fillId="3" borderId="24" xfId="0" applyFill="1" applyBorder="1"/>
    <xf numFmtId="0" fontId="0" fillId="3" borderId="25" xfId="0" applyFill="1" applyBorder="1"/>
    <xf numFmtId="0" fontId="0" fillId="0" borderId="9" xfId="0" applyBorder="1"/>
    <xf numFmtId="0" fontId="0" fillId="3" borderId="9" xfId="0" applyFill="1" applyBorder="1"/>
    <xf numFmtId="0" fontId="8" fillId="0" borderId="12" xfId="0" applyFont="1" applyBorder="1"/>
    <xf numFmtId="0" fontId="10" fillId="0" borderId="0" xfId="3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8" borderId="0" xfId="0" applyFill="1" applyBorder="1" applyAlignment="1"/>
    <xf numFmtId="0" fontId="0" fillId="7" borderId="0" xfId="0" applyFill="1" applyBorder="1" applyAlignment="1"/>
    <xf numFmtId="0" fontId="0" fillId="7" borderId="16" xfId="0" applyFill="1" applyBorder="1" applyAlignment="1"/>
    <xf numFmtId="9" fontId="8" fillId="6" borderId="13" xfId="0" applyNumberFormat="1" applyFont="1" applyFill="1" applyBorder="1" applyAlignment="1">
      <alignment horizontal="center"/>
    </xf>
    <xf numFmtId="0" fontId="8" fillId="6" borderId="13" xfId="0" applyFont="1" applyFill="1" applyBorder="1"/>
    <xf numFmtId="0" fontId="8" fillId="6" borderId="14" xfId="0" applyFont="1" applyFill="1" applyBorder="1"/>
    <xf numFmtId="0" fontId="0" fillId="8" borderId="16" xfId="0" applyFill="1" applyBorder="1" applyAlignment="1"/>
    <xf numFmtId="0" fontId="3" fillId="0" borderId="4" xfId="0" applyFont="1" applyBorder="1"/>
    <xf numFmtId="0" fontId="3" fillId="0" borderId="0" xfId="0" applyFont="1" applyBorder="1" applyAlignment="1">
      <alignment horizontal="center"/>
    </xf>
    <xf numFmtId="164" fontId="0" fillId="7" borderId="0" xfId="0" applyNumberFormat="1" applyFill="1" applyBorder="1" applyAlignment="1"/>
    <xf numFmtId="0" fontId="3" fillId="0" borderId="18" xfId="0" applyFont="1" applyBorder="1"/>
    <xf numFmtId="0" fontId="0" fillId="0" borderId="11" xfId="0" applyBorder="1"/>
    <xf numFmtId="0" fontId="2" fillId="2" borderId="1" xfId="2"/>
    <xf numFmtId="0" fontId="2" fillId="2" borderId="1" xfId="2" applyAlignment="1">
      <alignment horizontal="left"/>
    </xf>
    <xf numFmtId="0" fontId="2" fillId="2" borderId="1" xfId="2" applyBorder="1"/>
    <xf numFmtId="0" fontId="2" fillId="2" borderId="1" xfId="2" applyBorder="1" applyAlignment="1">
      <alignment horizontal="left"/>
    </xf>
    <xf numFmtId="0" fontId="0" fillId="6" borderId="13" xfId="0" applyFill="1" applyBorder="1"/>
    <xf numFmtId="0" fontId="0" fillId="6" borderId="14" xfId="0" applyFill="1" applyBorder="1"/>
    <xf numFmtId="0" fontId="0" fillId="6" borderId="0" xfId="0" applyFill="1" applyBorder="1"/>
    <xf numFmtId="0" fontId="0" fillId="6" borderId="18" xfId="0" applyFill="1" applyBorder="1"/>
    <xf numFmtId="0" fontId="0" fillId="0" borderId="15" xfId="0" applyBorder="1" applyAlignment="1">
      <alignment horizontal="right"/>
    </xf>
    <xf numFmtId="0" fontId="3" fillId="0" borderId="15" xfId="0" applyFont="1" applyBorder="1" applyAlignment="1">
      <alignment horizontal="right"/>
    </xf>
    <xf numFmtId="0" fontId="0" fillId="0" borderId="17" xfId="0" applyBorder="1" applyAlignment="1">
      <alignment horizontal="right"/>
    </xf>
    <xf numFmtId="165" fontId="0" fillId="0" borderId="11" xfId="1" applyNumberFormat="1" applyFont="1" applyBorder="1"/>
    <xf numFmtId="0" fontId="0" fillId="0" borderId="23" xfId="0" applyBorder="1"/>
    <xf numFmtId="165" fontId="0" fillId="0" borderId="23" xfId="1" applyNumberFormat="1" applyFont="1" applyBorder="1"/>
    <xf numFmtId="0" fontId="0" fillId="0" borderId="26" xfId="0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2" fontId="3" fillId="0" borderId="3" xfId="0" applyNumberFormat="1" applyFont="1" applyBorder="1" applyAlignment="1">
      <alignment horizontal="center"/>
    </xf>
    <xf numFmtId="0" fontId="8" fillId="6" borderId="12" xfId="0" applyFont="1" applyFill="1" applyBorder="1" applyAlignment="1">
      <alignment horizontal="left"/>
    </xf>
    <xf numFmtId="0" fontId="3" fillId="0" borderId="27" xfId="0" applyFont="1" applyBorder="1" applyAlignment="1">
      <alignment horizontal="right"/>
    </xf>
    <xf numFmtId="164" fontId="0" fillId="8" borderId="0" xfId="0" applyNumberFormat="1" applyFill="1" applyBorder="1" applyAlignment="1"/>
    <xf numFmtId="1" fontId="0" fillId="8" borderId="0" xfId="0" applyNumberFormat="1" applyFill="1" applyBorder="1" applyAlignment="1"/>
    <xf numFmtId="1" fontId="0" fillId="7" borderId="0" xfId="0" applyNumberFormat="1" applyFill="1" applyBorder="1" applyAlignment="1"/>
    <xf numFmtId="1" fontId="3" fillId="0" borderId="3" xfId="0" applyNumberFormat="1" applyFont="1" applyBorder="1" applyAlignment="1">
      <alignment horizontal="center"/>
    </xf>
    <xf numFmtId="0" fontId="0" fillId="6" borderId="11" xfId="0" applyFill="1" applyBorder="1"/>
    <xf numFmtId="2" fontId="0" fillId="6" borderId="11" xfId="0" applyNumberFormat="1" applyFill="1" applyBorder="1"/>
    <xf numFmtId="9" fontId="0" fillId="6" borderId="11" xfId="0" applyNumberFormat="1" applyFill="1" applyBorder="1"/>
    <xf numFmtId="165" fontId="0" fillId="6" borderId="11" xfId="0" applyNumberFormat="1" applyFill="1" applyBorder="1"/>
    <xf numFmtId="0" fontId="2" fillId="2" borderId="1" xfId="2" applyAlignment="1">
      <alignment horizontal="center"/>
    </xf>
    <xf numFmtId="9" fontId="2" fillId="0" borderId="1" xfId="2" applyNumberFormat="1" applyFill="1" applyAlignment="1">
      <alignment horizontal="center"/>
    </xf>
    <xf numFmtId="0" fontId="2" fillId="0" borderId="1" xfId="2" applyFill="1" applyAlignment="1">
      <alignment horizontal="center"/>
    </xf>
    <xf numFmtId="0" fontId="0" fillId="0" borderId="0" xfId="0" applyFill="1" applyBorder="1" applyAlignment="1">
      <alignment horizontal="center"/>
    </xf>
    <xf numFmtId="9" fontId="2" fillId="0" borderId="0" xfId="2" applyNumberFormat="1" applyFill="1" applyBorder="1" applyAlignment="1">
      <alignment horizontal="center"/>
    </xf>
    <xf numFmtId="0" fontId="2" fillId="0" borderId="0" xfId="2" applyFill="1" applyBorder="1" applyAlignment="1">
      <alignment horizontal="center"/>
    </xf>
    <xf numFmtId="9" fontId="2" fillId="2" borderId="11" xfId="2" applyNumberFormat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/>
    <xf numFmtId="0" fontId="0" fillId="0" borderId="8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2" borderId="1" xfId="2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2" fillId="0" borderId="1" xfId="2" applyFill="1" applyAlignment="1">
      <alignment horizontal="left"/>
    </xf>
    <xf numFmtId="166" fontId="0" fillId="0" borderId="0" xfId="0" applyNumberFormat="1" applyAlignment="1">
      <alignment horizontal="center"/>
    </xf>
    <xf numFmtId="0" fontId="3" fillId="7" borderId="2" xfId="0" applyFont="1" applyFill="1" applyBorder="1" applyAlignment="1">
      <alignment horizontal="right"/>
    </xf>
    <xf numFmtId="0" fontId="14" fillId="7" borderId="3" xfId="0" applyFont="1" applyFill="1" applyBorder="1" applyAlignment="1">
      <alignment horizontal="right" vertical="center"/>
    </xf>
    <xf numFmtId="0" fontId="3" fillId="7" borderId="4" xfId="0" applyFont="1" applyFill="1" applyBorder="1"/>
    <xf numFmtId="0" fontId="3" fillId="8" borderId="2" xfId="0" applyFont="1" applyFill="1" applyBorder="1" applyAlignment="1">
      <alignment horizontal="right"/>
    </xf>
    <xf numFmtId="165" fontId="14" fillId="8" borderId="3" xfId="1" applyNumberFormat="1" applyFont="1" applyFill="1" applyBorder="1" applyAlignment="1">
      <alignment horizontal="right" vertical="center"/>
    </xf>
    <xf numFmtId="0" fontId="3" fillId="8" borderId="4" xfId="0" applyFont="1" applyFill="1" applyBorder="1"/>
    <xf numFmtId="9" fontId="2" fillId="2" borderId="1" xfId="2" applyNumberFormat="1" applyBorder="1" applyAlignment="1">
      <alignment horizontal="center"/>
    </xf>
    <xf numFmtId="0" fontId="2" fillId="0" borderId="1" xfId="2" applyFill="1" applyBorder="1" applyAlignment="1">
      <alignment horizontal="left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165" fontId="0" fillId="0" borderId="11" xfId="1" applyNumberFormat="1" applyFont="1" applyBorder="1" applyAlignment="1">
      <alignment horizontal="center" vertical="center"/>
    </xf>
    <xf numFmtId="0" fontId="13" fillId="0" borderId="31" xfId="0" quotePrefix="1" applyFont="1" applyBorder="1" applyAlignment="1">
      <alignment horizontal="center" vertical="center" wrapText="1"/>
    </xf>
    <xf numFmtId="0" fontId="15" fillId="0" borderId="31" xfId="0" quotePrefix="1" applyFont="1" applyBorder="1" applyAlignment="1">
      <alignment horizontal="center" vertical="center" wrapText="1"/>
    </xf>
    <xf numFmtId="0" fontId="0" fillId="0" borderId="30" xfId="0" applyBorder="1" applyAlignment="1">
      <alignment horizontal="right" vertical="center"/>
    </xf>
    <xf numFmtId="0" fontId="0" fillId="0" borderId="32" xfId="0" applyBorder="1" applyAlignment="1">
      <alignment horizontal="right" vertical="center" wrapText="1"/>
    </xf>
    <xf numFmtId="0" fontId="3" fillId="4" borderId="28" xfId="0" applyFont="1" applyFill="1" applyBorder="1" applyAlignment="1">
      <alignment horizontal="right"/>
    </xf>
    <xf numFmtId="0" fontId="3" fillId="4" borderId="23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1" xfId="0" applyBorder="1" applyAlignment="1">
      <alignment vertical="center" wrapText="1"/>
    </xf>
    <xf numFmtId="0" fontId="0" fillId="8" borderId="0" xfId="0" applyFill="1" applyBorder="1"/>
    <xf numFmtId="0" fontId="0" fillId="8" borderId="16" xfId="0" applyFill="1" applyBorder="1"/>
    <xf numFmtId="0" fontId="0" fillId="8" borderId="0" xfId="0" applyFill="1" applyBorder="1" applyAlignment="1">
      <alignment horizontal="right"/>
    </xf>
    <xf numFmtId="1" fontId="0" fillId="8" borderId="0" xfId="0" applyNumberFormat="1" applyFill="1" applyBorder="1" applyAlignment="1">
      <alignment horizontal="right"/>
    </xf>
    <xf numFmtId="1" fontId="0" fillId="8" borderId="0" xfId="0" applyNumberFormat="1" applyFill="1" applyBorder="1"/>
    <xf numFmtId="0" fontId="0" fillId="0" borderId="15" xfId="0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/>
    <xf numFmtId="0" fontId="0" fillId="0" borderId="16" xfId="0" applyFill="1" applyBorder="1"/>
    <xf numFmtId="164" fontId="3" fillId="7" borderId="3" xfId="0" applyNumberFormat="1" applyFont="1" applyFill="1" applyBorder="1" applyAlignment="1">
      <alignment horizontal="right"/>
    </xf>
    <xf numFmtId="1" fontId="3" fillId="8" borderId="3" xfId="0" applyNumberFormat="1" applyFont="1" applyFill="1" applyBorder="1" applyAlignment="1">
      <alignment horizontal="right"/>
    </xf>
    <xf numFmtId="0" fontId="3" fillId="0" borderId="0" xfId="0" applyFont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0" borderId="0" xfId="0" quotePrefix="1" applyFill="1" applyBorder="1"/>
    <xf numFmtId="0" fontId="2" fillId="0" borderId="1" xfId="2" applyFill="1"/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6" fillId="4" borderId="12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8" borderId="0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0" fillId="0" borderId="15" xfId="0" applyBorder="1" applyAlignment="1">
      <alignment horizontal="right" vertical="center"/>
    </xf>
    <xf numFmtId="0" fontId="0" fillId="8" borderId="0" xfId="0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/>
    </xf>
    <xf numFmtId="0" fontId="0" fillId="8" borderId="0" xfId="0" applyFill="1" applyBorder="1" applyAlignment="1">
      <alignment horizontal="center" wrapText="1"/>
    </xf>
    <xf numFmtId="0" fontId="0" fillId="7" borderId="0" xfId="0" applyFill="1" applyBorder="1" applyAlignment="1">
      <alignment horizontal="center" wrapText="1"/>
    </xf>
    <xf numFmtId="0" fontId="0" fillId="7" borderId="0" xfId="0" applyFill="1" applyBorder="1" applyAlignment="1">
      <alignment horizontal="center" vertical="top" wrapText="1"/>
    </xf>
    <xf numFmtId="0" fontId="0" fillId="8" borderId="2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</cellXfs>
  <cellStyles count="4">
    <cellStyle name="Comma" xfId="1" builtinId="3"/>
    <cellStyle name="Hyperlink" xfId="3" builtinId="8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240583</xdr:colOff>
      <xdr:row>10</xdr:row>
      <xdr:rowOff>30670</xdr:rowOff>
    </xdr:from>
    <xdr:to>
      <xdr:col>10</xdr:col>
      <xdr:colOff>174580</xdr:colOff>
      <xdr:row>32</xdr:row>
      <xdr:rowOff>38339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583" y="2752783"/>
          <a:ext cx="8186600" cy="401415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109268</xdr:colOff>
      <xdr:row>33</xdr:row>
      <xdr:rowOff>230996</xdr:rowOff>
    </xdr:from>
    <xdr:to>
      <xdr:col>7</xdr:col>
      <xdr:colOff>477991</xdr:colOff>
      <xdr:row>53</xdr:row>
      <xdr:rowOff>113101</xdr:rowOff>
    </xdr:to>
    <xdr:pic>
      <xdr:nvPicPr>
        <xdr:cNvPr id="7" name="Picture 6" descr="An image that shows that source energy results in equitable comparisons.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476" y="6950015"/>
          <a:ext cx="6503062" cy="3581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355600</xdr:colOff>
      <xdr:row>13</xdr:row>
      <xdr:rowOff>48883</xdr:rowOff>
    </xdr:from>
    <xdr:to>
      <xdr:col>24</xdr:col>
      <xdr:colOff>54015</xdr:colOff>
      <xdr:row>46</xdr:row>
      <xdr:rowOff>52320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31222" y="3317336"/>
          <a:ext cx="8334415" cy="60706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146649</xdr:colOff>
      <xdr:row>41</xdr:row>
      <xdr:rowOff>25879</xdr:rowOff>
    </xdr:from>
    <xdr:to>
      <xdr:col>6</xdr:col>
      <xdr:colOff>405441</xdr:colOff>
      <xdr:row>45</xdr:row>
      <xdr:rowOff>388189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936966" y="4175185"/>
          <a:ext cx="258792" cy="1906438"/>
        </a:xfrm>
        <a:prstGeom prst="rightBrace">
          <a:avLst>
            <a:gd name="adj1" fmla="val 8333"/>
            <a:gd name="adj2" fmla="val 5045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gystar.gov/buildings/benchmark/understand_metrics/source_site_differenc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4"/>
  <sheetViews>
    <sheetView showGridLines="0" zoomScale="90" zoomScaleNormal="90" workbookViewId="0">
      <selection activeCell="B7" sqref="B7:C7"/>
    </sheetView>
  </sheetViews>
  <sheetFormatPr defaultRowHeight="14.5" x14ac:dyDescent="0.35"/>
  <cols>
    <col min="1" max="1" width="3.6328125" customWidth="1"/>
    <col min="2" max="2" width="42.6328125" customWidth="1"/>
    <col min="4" max="4" width="10.08984375" bestFit="1" customWidth="1"/>
    <col min="14" max="14" width="16.7265625" customWidth="1"/>
  </cols>
  <sheetData>
    <row r="1" spans="2:17" ht="25.9" customHeight="1" thickBot="1" x14ac:dyDescent="0.4">
      <c r="B1" s="33" t="s">
        <v>0</v>
      </c>
    </row>
    <row r="2" spans="2:17" ht="21.75" customHeight="1" thickBot="1" x14ac:dyDescent="0.4">
      <c r="B2" s="146" t="s">
        <v>3</v>
      </c>
      <c r="C2" s="147"/>
      <c r="D2" s="147"/>
      <c r="E2" s="147"/>
      <c r="F2" s="147"/>
      <c r="G2" s="147"/>
      <c r="H2" s="147"/>
      <c r="I2" s="147"/>
      <c r="J2" s="147"/>
      <c r="K2" s="147"/>
      <c r="L2" s="148"/>
      <c r="O2" s="159" t="s">
        <v>15</v>
      </c>
      <c r="P2" s="160"/>
      <c r="Q2" s="161"/>
    </row>
    <row r="3" spans="2:17" ht="21.75" customHeight="1" x14ac:dyDescent="0.35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51"/>
      <c r="O3" s="4" t="s">
        <v>6</v>
      </c>
      <c r="P3" s="5">
        <v>3412</v>
      </c>
      <c r="Q3" s="6" t="s">
        <v>7</v>
      </c>
    </row>
    <row r="4" spans="2:17" ht="21.75" customHeight="1" x14ac:dyDescent="0.35">
      <c r="B4" s="149"/>
      <c r="C4" s="150"/>
      <c r="D4" s="150"/>
      <c r="E4" s="150"/>
      <c r="F4" s="150"/>
      <c r="G4" s="150"/>
      <c r="H4" s="150"/>
      <c r="I4" s="150"/>
      <c r="J4" s="150"/>
      <c r="K4" s="150"/>
      <c r="L4" s="151"/>
      <c r="O4" s="37" t="s">
        <v>10</v>
      </c>
      <c r="P4" s="10">
        <v>100000</v>
      </c>
      <c r="Q4" s="38" t="s">
        <v>7</v>
      </c>
    </row>
    <row r="5" spans="2:17" ht="20.399999999999999" customHeight="1" thickBot="1" x14ac:dyDescent="0.4">
      <c r="B5" s="152"/>
      <c r="C5" s="153"/>
      <c r="D5" s="153"/>
      <c r="E5" s="153"/>
      <c r="F5" s="153"/>
      <c r="G5" s="153"/>
      <c r="H5" s="153"/>
      <c r="I5" s="153"/>
      <c r="J5" s="153"/>
      <c r="K5" s="153"/>
      <c r="L5" s="154"/>
      <c r="O5" s="8" t="s">
        <v>10</v>
      </c>
      <c r="P5" s="40">
        <v>29.3</v>
      </c>
      <c r="Q5" s="9" t="s">
        <v>17</v>
      </c>
    </row>
    <row r="7" spans="2:17" ht="15.5" x14ac:dyDescent="0.35">
      <c r="B7" s="162" t="s">
        <v>16</v>
      </c>
      <c r="C7" s="163"/>
      <c r="D7" s="155" t="s">
        <v>9</v>
      </c>
      <c r="E7" s="156"/>
      <c r="F7" s="35" t="s">
        <v>2</v>
      </c>
      <c r="G7" s="36"/>
      <c r="H7" s="20"/>
      <c r="I7" s="20"/>
      <c r="J7" s="20"/>
      <c r="K7" s="20"/>
      <c r="L7" s="20"/>
      <c r="M7" s="20"/>
      <c r="N7" s="21"/>
    </row>
    <row r="8" spans="2:17" ht="19" customHeight="1" x14ac:dyDescent="0.35">
      <c r="B8" s="22" t="s">
        <v>1</v>
      </c>
      <c r="C8" s="30">
        <v>1.01</v>
      </c>
      <c r="D8" s="157" t="s">
        <v>12</v>
      </c>
      <c r="E8" s="158"/>
      <c r="F8" s="22" t="s">
        <v>11</v>
      </c>
      <c r="G8" s="23"/>
      <c r="H8" s="23"/>
      <c r="I8" s="23"/>
      <c r="J8" s="23"/>
      <c r="K8" s="23"/>
      <c r="L8" s="23"/>
      <c r="M8" s="23"/>
      <c r="N8" s="24"/>
    </row>
    <row r="9" spans="2:17" ht="19" customHeight="1" x14ac:dyDescent="0.35">
      <c r="B9" s="22" t="s">
        <v>4</v>
      </c>
      <c r="C9" s="30">
        <v>3.16</v>
      </c>
      <c r="D9" s="28">
        <f>C9*P3</f>
        <v>10781.92</v>
      </c>
      <c r="E9" s="24" t="s">
        <v>8</v>
      </c>
      <c r="F9" s="22" t="s">
        <v>13</v>
      </c>
      <c r="G9" s="23"/>
      <c r="H9" s="23"/>
      <c r="I9" s="23"/>
      <c r="J9" s="23"/>
      <c r="K9" s="23"/>
      <c r="L9" s="23"/>
      <c r="M9" s="23"/>
      <c r="N9" s="24"/>
      <c r="O9" t="s">
        <v>82</v>
      </c>
    </row>
    <row r="10" spans="2:17" ht="19" customHeight="1" x14ac:dyDescent="0.35">
      <c r="B10" s="25" t="s">
        <v>5</v>
      </c>
      <c r="C10" s="31">
        <v>3.07</v>
      </c>
      <c r="D10" s="29">
        <f>C10*P3</f>
        <v>10474.84</v>
      </c>
      <c r="E10" s="27" t="s">
        <v>8</v>
      </c>
      <c r="F10" s="25" t="s">
        <v>14</v>
      </c>
      <c r="G10" s="26"/>
      <c r="H10" s="26"/>
      <c r="I10" s="26"/>
      <c r="J10" s="26"/>
      <c r="K10" s="26"/>
      <c r="L10" s="26"/>
      <c r="M10" s="26"/>
      <c r="N10" s="27"/>
      <c r="O10" t="s">
        <v>82</v>
      </c>
    </row>
    <row r="12" spans="2:17" x14ac:dyDescent="0.35">
      <c r="L12" t="s">
        <v>19</v>
      </c>
      <c r="M12" s="42" t="s">
        <v>20</v>
      </c>
      <c r="N12" s="2"/>
    </row>
    <row r="13" spans="2:17" x14ac:dyDescent="0.35">
      <c r="M13" s="2"/>
      <c r="N13" s="2"/>
    </row>
    <row r="34" spans="2:8" ht="18.5" x14ac:dyDescent="0.45">
      <c r="B34" s="41" t="s">
        <v>18</v>
      </c>
      <c r="C34" s="12"/>
      <c r="D34" s="12"/>
      <c r="E34" s="12"/>
      <c r="F34" s="12"/>
      <c r="G34" s="12"/>
      <c r="H34" s="13"/>
    </row>
    <row r="35" spans="2:8" x14ac:dyDescent="0.35">
      <c r="B35" s="14"/>
      <c r="C35" s="15"/>
      <c r="D35" s="15"/>
      <c r="E35" s="15"/>
      <c r="F35" s="15"/>
      <c r="G35" s="15"/>
      <c r="H35" s="16"/>
    </row>
    <row r="36" spans="2:8" x14ac:dyDescent="0.35">
      <c r="B36" s="14"/>
      <c r="C36" s="15"/>
      <c r="D36" s="15"/>
      <c r="E36" s="15"/>
      <c r="F36" s="15"/>
      <c r="G36" s="15"/>
      <c r="H36" s="16"/>
    </row>
    <row r="37" spans="2:8" x14ac:dyDescent="0.35">
      <c r="B37" s="14"/>
      <c r="C37" s="15"/>
      <c r="D37" s="15"/>
      <c r="E37" s="15"/>
      <c r="F37" s="15"/>
      <c r="G37" s="15"/>
      <c r="H37" s="16"/>
    </row>
    <row r="38" spans="2:8" x14ac:dyDescent="0.35">
      <c r="B38" s="14"/>
      <c r="C38" s="15"/>
      <c r="D38" s="15"/>
      <c r="E38" s="15"/>
      <c r="F38" s="15"/>
      <c r="G38" s="15"/>
      <c r="H38" s="16"/>
    </row>
    <row r="39" spans="2:8" x14ac:dyDescent="0.35">
      <c r="B39" s="14"/>
      <c r="C39" s="15"/>
      <c r="D39" s="15"/>
      <c r="E39" s="15"/>
      <c r="F39" s="15"/>
      <c r="G39" s="15"/>
      <c r="H39" s="16"/>
    </row>
    <row r="40" spans="2:8" x14ac:dyDescent="0.35">
      <c r="B40" s="14"/>
      <c r="C40" s="15"/>
      <c r="D40" s="15"/>
      <c r="E40" s="15"/>
      <c r="F40" s="15"/>
      <c r="G40" s="15"/>
      <c r="H40" s="16"/>
    </row>
    <row r="41" spans="2:8" x14ac:dyDescent="0.35">
      <c r="B41" s="14"/>
      <c r="C41" s="15"/>
      <c r="D41" s="15"/>
      <c r="E41" s="15"/>
      <c r="F41" s="15"/>
      <c r="G41" s="15"/>
      <c r="H41" s="16"/>
    </row>
    <row r="42" spans="2:8" x14ac:dyDescent="0.35">
      <c r="B42" s="14"/>
      <c r="C42" s="15"/>
      <c r="D42" s="15"/>
      <c r="E42" s="15"/>
      <c r="F42" s="15"/>
      <c r="G42" s="15"/>
      <c r="H42" s="16"/>
    </row>
    <row r="43" spans="2:8" x14ac:dyDescent="0.35">
      <c r="B43" s="14"/>
      <c r="C43" s="15"/>
      <c r="D43" s="15"/>
      <c r="E43" s="15"/>
      <c r="F43" s="15"/>
      <c r="G43" s="15"/>
      <c r="H43" s="16"/>
    </row>
    <row r="44" spans="2:8" x14ac:dyDescent="0.35">
      <c r="B44" s="14"/>
      <c r="C44" s="15"/>
      <c r="D44" s="15"/>
      <c r="E44" s="15"/>
      <c r="F44" s="15"/>
      <c r="G44" s="15"/>
      <c r="H44" s="16"/>
    </row>
    <row r="45" spans="2:8" x14ac:dyDescent="0.35">
      <c r="B45" s="14"/>
      <c r="C45" s="15"/>
      <c r="D45" s="15"/>
      <c r="E45" s="15"/>
      <c r="F45" s="15"/>
      <c r="G45" s="15"/>
      <c r="H45" s="16"/>
    </row>
    <row r="46" spans="2:8" x14ac:dyDescent="0.35">
      <c r="B46" s="14"/>
      <c r="C46" s="15"/>
      <c r="D46" s="15"/>
      <c r="E46" s="15"/>
      <c r="F46" s="15"/>
      <c r="G46" s="15"/>
      <c r="H46" s="16"/>
    </row>
    <row r="47" spans="2:8" x14ac:dyDescent="0.35">
      <c r="B47" s="14"/>
      <c r="C47" s="15"/>
      <c r="D47" s="15"/>
      <c r="E47" s="15"/>
      <c r="F47" s="15"/>
      <c r="G47" s="15"/>
      <c r="H47" s="16"/>
    </row>
    <row r="48" spans="2:8" x14ac:dyDescent="0.35">
      <c r="B48" s="14"/>
      <c r="C48" s="15"/>
      <c r="D48" s="15"/>
      <c r="E48" s="15"/>
      <c r="F48" s="15"/>
      <c r="G48" s="15"/>
      <c r="H48" s="16"/>
    </row>
    <row r="49" spans="2:8" x14ac:dyDescent="0.35">
      <c r="B49" s="14"/>
      <c r="C49" s="15"/>
      <c r="D49" s="15"/>
      <c r="E49" s="15"/>
      <c r="F49" s="15"/>
      <c r="G49" s="15"/>
      <c r="H49" s="16"/>
    </row>
    <row r="50" spans="2:8" x14ac:dyDescent="0.35">
      <c r="B50" s="14"/>
      <c r="C50" s="15"/>
      <c r="D50" s="15"/>
      <c r="E50" s="15"/>
      <c r="F50" s="15"/>
      <c r="G50" s="15"/>
      <c r="H50" s="16"/>
    </row>
    <row r="51" spans="2:8" x14ac:dyDescent="0.35">
      <c r="B51" s="14"/>
      <c r="C51" s="15"/>
      <c r="D51" s="15"/>
      <c r="E51" s="15"/>
      <c r="F51" s="15"/>
      <c r="G51" s="15"/>
      <c r="H51" s="16"/>
    </row>
    <row r="52" spans="2:8" x14ac:dyDescent="0.35">
      <c r="B52" s="14"/>
      <c r="C52" s="15"/>
      <c r="D52" s="15"/>
      <c r="E52" s="15"/>
      <c r="F52" s="15"/>
      <c r="G52" s="15"/>
      <c r="H52" s="16"/>
    </row>
    <row r="53" spans="2:8" x14ac:dyDescent="0.35">
      <c r="B53" s="14"/>
      <c r="C53" s="15"/>
      <c r="D53" s="15"/>
      <c r="E53" s="15"/>
      <c r="F53" s="15"/>
      <c r="G53" s="15"/>
      <c r="H53" s="16"/>
    </row>
    <row r="54" spans="2:8" x14ac:dyDescent="0.35">
      <c r="B54" s="17"/>
      <c r="C54" s="18"/>
      <c r="D54" s="18"/>
      <c r="E54" s="18"/>
      <c r="F54" s="18"/>
      <c r="G54" s="18"/>
      <c r="H54" s="19"/>
    </row>
  </sheetData>
  <mergeCells count="5">
    <mergeCell ref="B2:L5"/>
    <mergeCell ref="D7:E7"/>
    <mergeCell ref="D8:E8"/>
    <mergeCell ref="O2:Q2"/>
    <mergeCell ref="B7:C7"/>
  </mergeCells>
  <hyperlinks>
    <hyperlink ref="M12" r:id="rId1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83"/>
  <sheetViews>
    <sheetView showGridLines="0" tabSelected="1" workbookViewId="0">
      <pane xSplit="1" ySplit="4" topLeftCell="B61" activePane="bottomRight" state="frozen"/>
      <selection pane="topRight" activeCell="B1" sqref="B1"/>
      <selection pane="bottomLeft" activeCell="A5" sqref="A5"/>
      <selection pane="bottomRight" activeCell="C84" sqref="C84"/>
    </sheetView>
  </sheetViews>
  <sheetFormatPr defaultRowHeight="14.5" x14ac:dyDescent="0.35"/>
  <cols>
    <col min="1" max="1" width="5" customWidth="1"/>
    <col min="2" max="2" width="29.26953125" style="32" customWidth="1"/>
    <col min="3" max="3" width="14.7265625" style="3" customWidth="1"/>
    <col min="7" max="7" width="11.08984375" customWidth="1"/>
    <col min="9" max="9" width="9.26953125" customWidth="1"/>
    <col min="10" max="10" width="10.6328125" customWidth="1"/>
    <col min="14" max="14" width="2.453125" hidden="1" customWidth="1"/>
    <col min="15" max="15" width="27.7265625" hidden="1" customWidth="1"/>
    <col min="16" max="16" width="10.453125" hidden="1" customWidth="1"/>
    <col min="17" max="17" width="2.90625" hidden="1" customWidth="1"/>
    <col min="18" max="18" width="23.08984375" customWidth="1"/>
    <col min="19" max="19" width="16" customWidth="1"/>
    <col min="20" max="20" width="12.90625" customWidth="1"/>
    <col min="21" max="21" width="13.26953125" customWidth="1"/>
  </cols>
  <sheetData>
    <row r="1" spans="2:21" ht="43.5" customHeight="1" thickBot="1" x14ac:dyDescent="0.4">
      <c r="B1" s="164" t="s">
        <v>81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6"/>
    </row>
    <row r="2" spans="2:21" ht="15" thickBot="1" x14ac:dyDescent="0.4">
      <c r="B2" s="96"/>
      <c r="C2" s="46" t="s">
        <v>46</v>
      </c>
      <c r="D2" s="185" t="s">
        <v>45</v>
      </c>
      <c r="E2" s="186"/>
      <c r="F2" s="187" t="s">
        <v>47</v>
      </c>
      <c r="G2" s="188"/>
      <c r="H2" s="15"/>
      <c r="I2" s="63" t="s">
        <v>72</v>
      </c>
      <c r="J2" s="15"/>
      <c r="K2" s="15"/>
      <c r="L2" s="15"/>
      <c r="M2" s="97"/>
    </row>
    <row r="3" spans="2:21" ht="12.9" customHeight="1" thickBot="1" x14ac:dyDescent="0.4">
      <c r="B3" s="98"/>
      <c r="C3" s="34"/>
      <c r="D3" s="39"/>
      <c r="E3" s="39"/>
      <c r="F3" s="39"/>
      <c r="G3" s="39"/>
      <c r="H3" s="39"/>
      <c r="I3" s="39"/>
      <c r="J3" s="39"/>
      <c r="K3" s="39"/>
      <c r="L3" s="39"/>
      <c r="M3" s="7"/>
    </row>
    <row r="4" spans="2:21" s="45" customFormat="1" ht="12.9" customHeight="1" x14ac:dyDescent="0.35">
      <c r="B4" s="99"/>
      <c r="C4" s="92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2:21" ht="18.5" x14ac:dyDescent="0.45">
      <c r="B5" s="79" t="s">
        <v>42</v>
      </c>
      <c r="C5" s="52"/>
      <c r="D5" s="53"/>
      <c r="E5" s="53"/>
      <c r="F5" s="53"/>
      <c r="G5" s="53"/>
      <c r="H5" s="53"/>
      <c r="I5" s="53"/>
      <c r="J5" s="53"/>
      <c r="K5" s="53"/>
      <c r="L5" s="53"/>
      <c r="M5" s="54"/>
      <c r="N5" s="65"/>
      <c r="O5" s="65"/>
      <c r="P5" s="66"/>
      <c r="S5" s="171" t="s">
        <v>66</v>
      </c>
      <c r="T5" s="171"/>
      <c r="U5" s="171"/>
    </row>
    <row r="6" spans="2:21" ht="29.9" customHeight="1" thickBot="1" x14ac:dyDescent="0.4">
      <c r="B6" s="69"/>
      <c r="C6" s="46"/>
      <c r="D6" s="15"/>
      <c r="E6" s="15"/>
      <c r="F6" s="15"/>
      <c r="G6" s="15"/>
      <c r="H6" s="15"/>
      <c r="I6" s="15"/>
      <c r="J6" s="15"/>
      <c r="K6" s="15"/>
      <c r="L6" s="15"/>
      <c r="M6" s="16"/>
      <c r="N6" s="67"/>
      <c r="O6" s="169" t="s">
        <v>61</v>
      </c>
      <c r="P6" s="170"/>
      <c r="S6" s="75" t="s">
        <v>65</v>
      </c>
      <c r="T6" s="75" t="s">
        <v>67</v>
      </c>
      <c r="U6" s="75" t="s">
        <v>68</v>
      </c>
    </row>
    <row r="7" spans="2:21" x14ac:dyDescent="0.35">
      <c r="B7" s="69" t="s">
        <v>23</v>
      </c>
      <c r="C7" s="46" t="s">
        <v>28</v>
      </c>
      <c r="D7" s="95">
        <v>0.8</v>
      </c>
      <c r="E7" s="15" t="s">
        <v>29</v>
      </c>
      <c r="F7" s="15"/>
      <c r="G7" s="15"/>
      <c r="H7" s="15"/>
      <c r="I7" s="15"/>
      <c r="J7" s="15"/>
      <c r="K7" s="15"/>
      <c r="L7" s="15"/>
      <c r="M7" s="16"/>
      <c r="N7" s="67"/>
      <c r="O7" s="85" t="s">
        <v>49</v>
      </c>
      <c r="P7" s="85">
        <f>VLOOKUP(C9, S7:U11,3, )</f>
        <v>1288</v>
      </c>
      <c r="Q7" s="1"/>
      <c r="R7" s="1"/>
      <c r="S7" s="73" t="s">
        <v>76</v>
      </c>
      <c r="T7" s="74">
        <v>1022</v>
      </c>
      <c r="U7" s="74">
        <v>1969</v>
      </c>
    </row>
    <row r="8" spans="2:21" x14ac:dyDescent="0.35">
      <c r="B8" s="69" t="s">
        <v>24</v>
      </c>
      <c r="C8" s="46" t="s">
        <v>21</v>
      </c>
      <c r="D8" s="94"/>
      <c r="E8" s="15" t="s">
        <v>38</v>
      </c>
      <c r="F8" s="15"/>
      <c r="G8" s="15"/>
      <c r="H8" s="15"/>
      <c r="I8" s="15"/>
      <c r="J8" s="15"/>
      <c r="K8" s="15"/>
      <c r="L8" s="15"/>
      <c r="M8" s="16"/>
      <c r="N8" s="67"/>
      <c r="O8" s="85" t="s">
        <v>48</v>
      </c>
      <c r="P8" s="85">
        <v>33000</v>
      </c>
      <c r="Q8" t="s">
        <v>80</v>
      </c>
      <c r="S8" s="60" t="s">
        <v>77</v>
      </c>
      <c r="T8" s="72">
        <v>976</v>
      </c>
      <c r="U8" s="72">
        <v>1840</v>
      </c>
    </row>
    <row r="9" spans="2:21" x14ac:dyDescent="0.35">
      <c r="B9" s="69" t="s">
        <v>60</v>
      </c>
      <c r="C9" s="64" t="s">
        <v>73</v>
      </c>
      <c r="D9" s="46"/>
      <c r="E9" s="15"/>
      <c r="F9" s="15"/>
      <c r="G9" s="15"/>
      <c r="H9" s="15"/>
      <c r="I9" s="15"/>
      <c r="J9" s="15"/>
      <c r="K9" s="15"/>
      <c r="L9" s="15"/>
      <c r="M9" s="16"/>
      <c r="N9" s="67"/>
      <c r="O9" s="85" t="s">
        <v>50</v>
      </c>
      <c r="P9" s="85">
        <f>D10</f>
        <v>9</v>
      </c>
      <c r="S9" s="60" t="s">
        <v>75</v>
      </c>
      <c r="T9" s="72">
        <v>836</v>
      </c>
      <c r="U9" s="72">
        <v>1754</v>
      </c>
    </row>
    <row r="10" spans="2:21" x14ac:dyDescent="0.35">
      <c r="B10" s="69" t="s">
        <v>25</v>
      </c>
      <c r="C10" s="15" t="s">
        <v>27</v>
      </c>
      <c r="D10" s="100">
        <v>9</v>
      </c>
      <c r="E10" s="15" t="s">
        <v>53</v>
      </c>
      <c r="F10" s="15"/>
      <c r="G10" s="15"/>
      <c r="H10" s="15"/>
      <c r="I10" s="15"/>
      <c r="J10" s="15"/>
      <c r="K10" s="15"/>
      <c r="L10" s="15"/>
      <c r="M10" s="16"/>
      <c r="N10" s="67"/>
      <c r="O10" s="85" t="s">
        <v>51</v>
      </c>
      <c r="P10" s="85">
        <v>1</v>
      </c>
      <c r="S10" s="60" t="s">
        <v>74</v>
      </c>
      <c r="T10" s="72">
        <v>645</v>
      </c>
      <c r="U10" s="72">
        <v>1266</v>
      </c>
    </row>
    <row r="11" spans="2:21" x14ac:dyDescent="0.35">
      <c r="B11" s="69" t="s">
        <v>26</v>
      </c>
      <c r="C11" s="15" t="s">
        <v>27</v>
      </c>
      <c r="D11" s="100">
        <v>15</v>
      </c>
      <c r="E11" s="15" t="s">
        <v>38</v>
      </c>
      <c r="F11" s="15"/>
      <c r="G11" s="15"/>
      <c r="H11" s="15"/>
      <c r="I11" s="15"/>
      <c r="J11" s="15"/>
      <c r="K11" s="15"/>
      <c r="L11" s="15"/>
      <c r="M11" s="16"/>
      <c r="N11" s="67"/>
      <c r="O11" s="85" t="s">
        <v>64</v>
      </c>
      <c r="P11" s="85">
        <v>10000</v>
      </c>
      <c r="S11" s="60" t="s">
        <v>73</v>
      </c>
      <c r="T11" s="72">
        <v>656</v>
      </c>
      <c r="U11" s="72">
        <v>1288</v>
      </c>
    </row>
    <row r="12" spans="2:21" x14ac:dyDescent="0.35">
      <c r="B12" s="69"/>
      <c r="C12" s="46"/>
      <c r="D12" s="15"/>
      <c r="E12" s="15"/>
      <c r="F12" s="15"/>
      <c r="G12" s="15"/>
      <c r="H12" s="15"/>
      <c r="I12" s="15"/>
      <c r="J12" s="15"/>
      <c r="K12" s="15"/>
      <c r="L12" s="15"/>
      <c r="M12" s="16"/>
      <c r="N12" s="67"/>
      <c r="O12" s="85" t="s">
        <v>52</v>
      </c>
      <c r="P12" s="86">
        <f>((P7*P8*(1/(P9*P10*(1-0))))/1000)*P11/1000000</f>
        <v>47.226666666666667</v>
      </c>
    </row>
    <row r="13" spans="2:21" ht="14.25" customHeight="1" thickBot="1" x14ac:dyDescent="0.4">
      <c r="B13" s="179" t="s">
        <v>30</v>
      </c>
      <c r="C13" s="180" t="s">
        <v>31</v>
      </c>
      <c r="D13" s="180"/>
      <c r="E13" s="181" t="s">
        <v>32</v>
      </c>
      <c r="F13" s="173" t="s">
        <v>33</v>
      </c>
      <c r="G13" s="173"/>
      <c r="H13" s="181" t="s">
        <v>12</v>
      </c>
      <c r="I13" s="183" t="s">
        <v>34</v>
      </c>
      <c r="J13" s="183"/>
      <c r="K13" s="172" t="s">
        <v>12</v>
      </c>
      <c r="L13" s="173" t="s">
        <v>35</v>
      </c>
      <c r="M13" s="174"/>
      <c r="N13" s="67"/>
      <c r="O13" s="85" t="s">
        <v>78</v>
      </c>
      <c r="P13" s="85">
        <f>VLOOKUP(C9,S7:U11,2)</f>
        <v>656</v>
      </c>
      <c r="S13" s="75" t="s">
        <v>69</v>
      </c>
      <c r="T13" s="75" t="s">
        <v>70</v>
      </c>
    </row>
    <row r="14" spans="2:21" x14ac:dyDescent="0.35">
      <c r="B14" s="179"/>
      <c r="C14" s="180"/>
      <c r="D14" s="180"/>
      <c r="E14" s="181"/>
      <c r="F14" s="173"/>
      <c r="G14" s="173"/>
      <c r="H14" s="181"/>
      <c r="I14" s="183"/>
      <c r="J14" s="183"/>
      <c r="K14" s="172"/>
      <c r="L14" s="173"/>
      <c r="M14" s="174"/>
      <c r="N14" s="67"/>
      <c r="O14" s="85" t="s">
        <v>29</v>
      </c>
      <c r="P14" s="87">
        <f>D7</f>
        <v>0.8</v>
      </c>
      <c r="Q14" s="1"/>
      <c r="R14" s="1"/>
      <c r="S14" s="73" t="s">
        <v>76</v>
      </c>
      <c r="T14" s="74">
        <v>512</v>
      </c>
    </row>
    <row r="15" spans="2:21" x14ac:dyDescent="0.35">
      <c r="B15" s="69"/>
      <c r="C15" s="46"/>
      <c r="D15" s="15"/>
      <c r="E15" s="15"/>
      <c r="F15" s="15"/>
      <c r="G15" s="15"/>
      <c r="H15" s="15"/>
      <c r="I15" s="15"/>
      <c r="J15" s="15"/>
      <c r="K15" s="15"/>
      <c r="L15" s="15"/>
      <c r="M15" s="16"/>
      <c r="N15" s="67"/>
      <c r="O15" s="85" t="s">
        <v>54</v>
      </c>
      <c r="P15" s="85">
        <f>((P13*P8*1/P14)/1000000)</f>
        <v>27.06</v>
      </c>
      <c r="S15" s="60" t="s">
        <v>77</v>
      </c>
      <c r="T15" s="72">
        <v>570</v>
      </c>
    </row>
    <row r="16" spans="2:21" x14ac:dyDescent="0.35">
      <c r="B16" s="69" t="s">
        <v>30</v>
      </c>
      <c r="C16" s="81">
        <f>P15</f>
        <v>27.06</v>
      </c>
      <c r="D16" s="49" t="s">
        <v>36</v>
      </c>
      <c r="E16" s="46" t="s">
        <v>32</v>
      </c>
      <c r="F16" s="50">
        <f>P20</f>
        <v>0</v>
      </c>
      <c r="G16" s="50" t="s">
        <v>36</v>
      </c>
      <c r="H16" s="46" t="s">
        <v>12</v>
      </c>
      <c r="I16" s="83">
        <f>P12</f>
        <v>47.226666666666667</v>
      </c>
      <c r="J16" s="50" t="s">
        <v>36</v>
      </c>
      <c r="K16" s="46" t="s">
        <v>12</v>
      </c>
      <c r="L16" s="83">
        <f>P21</f>
        <v>20.9496</v>
      </c>
      <c r="M16" s="51" t="s">
        <v>36</v>
      </c>
      <c r="N16" s="67"/>
      <c r="O16" s="85" t="s">
        <v>55</v>
      </c>
      <c r="P16" s="85">
        <v>34800</v>
      </c>
      <c r="Q16" t="s">
        <v>80</v>
      </c>
      <c r="S16" s="60" t="s">
        <v>75</v>
      </c>
      <c r="T16" s="72">
        <v>730</v>
      </c>
    </row>
    <row r="17" spans="2:20" ht="15" thickBot="1" x14ac:dyDescent="0.4">
      <c r="B17" s="69"/>
      <c r="C17" s="46"/>
      <c r="D17" s="15"/>
      <c r="E17" s="15"/>
      <c r="F17" s="15"/>
      <c r="G17" s="15"/>
      <c r="H17" s="15"/>
      <c r="I17" s="15"/>
      <c r="J17" s="15"/>
      <c r="K17" s="15"/>
      <c r="L17" s="15"/>
      <c r="M17" s="16"/>
      <c r="N17" s="67"/>
      <c r="O17" s="85" t="s">
        <v>79</v>
      </c>
      <c r="P17" s="88">
        <f>VLOOKUP(C9,S14:T18,2)</f>
        <v>903</v>
      </c>
      <c r="S17" s="60" t="s">
        <v>74</v>
      </c>
      <c r="T17" s="72">
        <v>1035</v>
      </c>
    </row>
    <row r="18" spans="2:20" ht="15" thickBot="1" x14ac:dyDescent="0.4">
      <c r="B18" s="80" t="s">
        <v>30</v>
      </c>
      <c r="C18" s="84">
        <f>C16+F16-I16-L16</f>
        <v>-41.116266666666668</v>
      </c>
      <c r="D18" s="56" t="s">
        <v>36</v>
      </c>
      <c r="E18" s="15"/>
      <c r="F18" s="15"/>
      <c r="G18" s="15"/>
      <c r="H18" s="15"/>
      <c r="I18" s="15"/>
      <c r="J18" s="15"/>
      <c r="K18" s="15"/>
      <c r="L18" s="15"/>
      <c r="M18" s="16"/>
      <c r="N18" s="67"/>
      <c r="O18" s="85" t="s">
        <v>56</v>
      </c>
      <c r="P18" s="85">
        <f>D8</f>
        <v>0</v>
      </c>
      <c r="S18" s="60" t="s">
        <v>73</v>
      </c>
      <c r="T18" s="72">
        <v>903</v>
      </c>
    </row>
    <row r="19" spans="2:20" x14ac:dyDescent="0.35">
      <c r="B19" s="69"/>
      <c r="C19" s="46"/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67"/>
      <c r="O19" s="85" t="s">
        <v>57</v>
      </c>
      <c r="P19" s="85">
        <f>D11</f>
        <v>15</v>
      </c>
    </row>
    <row r="20" spans="2:20" x14ac:dyDescent="0.35">
      <c r="B20" s="70" t="s">
        <v>37</v>
      </c>
      <c r="C20" s="175" t="s">
        <v>43</v>
      </c>
      <c r="D20" s="175"/>
      <c r="E20" s="175"/>
      <c r="F20" s="175"/>
      <c r="G20" s="175"/>
      <c r="H20" s="175"/>
      <c r="I20" s="175"/>
      <c r="J20" s="175"/>
      <c r="K20" s="175"/>
      <c r="L20" s="175"/>
      <c r="M20" s="176"/>
      <c r="N20" s="67"/>
      <c r="O20" s="85" t="s">
        <v>58</v>
      </c>
      <c r="P20" s="85">
        <f>IF(P18=0,0, (P17*P16*(1/P18)/1000)*P11/1000000)</f>
        <v>0</v>
      </c>
    </row>
    <row r="21" spans="2:20" x14ac:dyDescent="0.35">
      <c r="B21" s="71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8"/>
      <c r="N21" s="68"/>
      <c r="O21" s="85" t="s">
        <v>59</v>
      </c>
      <c r="P21" s="86">
        <f>(P17*P16*(1/P19)/1000)*P11/1000000</f>
        <v>20.9496</v>
      </c>
    </row>
    <row r="23" spans="2:20" ht="2.75" customHeight="1" x14ac:dyDescent="0.35"/>
    <row r="24" spans="2:20" ht="18.5" x14ac:dyDescent="0.45">
      <c r="B24" s="79" t="s">
        <v>40</v>
      </c>
      <c r="C24" s="52"/>
      <c r="D24" s="53"/>
      <c r="E24" s="53"/>
      <c r="F24" s="53"/>
      <c r="G24" s="53"/>
      <c r="H24" s="53"/>
      <c r="I24" s="53"/>
      <c r="J24" s="53"/>
      <c r="K24" s="53"/>
      <c r="L24" s="53"/>
      <c r="M24" s="54"/>
      <c r="N24" s="65"/>
      <c r="O24" s="65"/>
      <c r="P24" s="66"/>
    </row>
    <row r="25" spans="2:20" x14ac:dyDescent="0.35">
      <c r="B25" s="69"/>
      <c r="C25" s="46"/>
      <c r="D25" s="15"/>
      <c r="E25" s="15"/>
      <c r="F25" s="15"/>
      <c r="G25" s="15"/>
      <c r="H25" s="15"/>
      <c r="I25" s="15"/>
      <c r="J25" s="15"/>
      <c r="K25" s="15"/>
      <c r="L25" s="15"/>
      <c r="M25" s="16"/>
      <c r="N25" s="67"/>
      <c r="O25" s="169" t="s">
        <v>61</v>
      </c>
      <c r="P25" s="170"/>
    </row>
    <row r="26" spans="2:20" x14ac:dyDescent="0.35">
      <c r="B26" s="69" t="s">
        <v>23</v>
      </c>
      <c r="C26" s="46" t="s">
        <v>28</v>
      </c>
      <c r="D26" s="93">
        <f>D7</f>
        <v>0.8</v>
      </c>
      <c r="E26" s="15" t="s">
        <v>29</v>
      </c>
      <c r="F26" s="15"/>
      <c r="G26" s="15"/>
      <c r="H26" s="15"/>
      <c r="I26" s="15"/>
      <c r="J26" s="15"/>
      <c r="K26" s="15"/>
      <c r="L26" s="15"/>
      <c r="M26" s="16"/>
      <c r="N26" s="67"/>
      <c r="O26" s="85" t="s">
        <v>49</v>
      </c>
      <c r="P26" s="85">
        <f>VLOOKUP(C9, S7:U11,3, )</f>
        <v>1288</v>
      </c>
    </row>
    <row r="27" spans="2:20" x14ac:dyDescent="0.35">
      <c r="B27" s="69" t="s">
        <v>24</v>
      </c>
      <c r="C27" s="101" t="s">
        <v>22</v>
      </c>
      <c r="D27" s="89">
        <v>13</v>
      </c>
      <c r="E27" s="15" t="s">
        <v>38</v>
      </c>
      <c r="F27" s="15"/>
      <c r="G27" s="15"/>
      <c r="H27" s="15"/>
      <c r="I27" s="15"/>
      <c r="J27" s="15"/>
      <c r="K27" s="15"/>
      <c r="L27" s="15"/>
      <c r="M27" s="16"/>
      <c r="N27" s="67"/>
      <c r="O27" s="85" t="s">
        <v>48</v>
      </c>
      <c r="P27" s="85">
        <v>33000</v>
      </c>
    </row>
    <row r="28" spans="2:20" x14ac:dyDescent="0.35">
      <c r="B28" s="69" t="s">
        <v>60</v>
      </c>
      <c r="C28" s="47" t="str">
        <f>C9</f>
        <v>5 (Marion, IL)</v>
      </c>
      <c r="D28" s="92"/>
      <c r="E28" s="15"/>
      <c r="F28" s="15"/>
      <c r="G28" s="15"/>
      <c r="H28" s="15"/>
      <c r="I28" s="15"/>
      <c r="J28" s="15"/>
      <c r="K28" s="15"/>
      <c r="L28" s="15"/>
      <c r="M28" s="16"/>
      <c r="N28" s="67"/>
      <c r="O28" s="85" t="s">
        <v>50</v>
      </c>
      <c r="P28" s="85">
        <f>D29</f>
        <v>9</v>
      </c>
    </row>
    <row r="29" spans="2:20" x14ac:dyDescent="0.35">
      <c r="B29" s="69" t="s">
        <v>25</v>
      </c>
      <c r="C29" s="15" t="s">
        <v>27</v>
      </c>
      <c r="D29" s="94">
        <f>D10</f>
        <v>9</v>
      </c>
      <c r="E29" s="15" t="s">
        <v>53</v>
      </c>
      <c r="F29" s="15"/>
      <c r="G29" s="15"/>
      <c r="H29" s="15"/>
      <c r="I29" s="15"/>
      <c r="J29" s="15"/>
      <c r="K29" s="15"/>
      <c r="L29" s="15"/>
      <c r="M29" s="16"/>
      <c r="N29" s="67"/>
      <c r="O29" s="85" t="s">
        <v>51</v>
      </c>
      <c r="P29" s="85">
        <v>1</v>
      </c>
    </row>
    <row r="30" spans="2:20" x14ac:dyDescent="0.35">
      <c r="B30" s="69" t="s">
        <v>26</v>
      </c>
      <c r="C30" s="15" t="s">
        <v>27</v>
      </c>
      <c r="D30" s="94">
        <f>D11</f>
        <v>15</v>
      </c>
      <c r="E30" s="11" t="s">
        <v>38</v>
      </c>
      <c r="F30" s="15"/>
      <c r="G30" s="15"/>
      <c r="H30" s="15"/>
      <c r="I30" s="15"/>
      <c r="J30" s="15"/>
      <c r="K30" s="15"/>
      <c r="L30" s="15"/>
      <c r="M30" s="16"/>
      <c r="N30" s="67"/>
      <c r="O30" s="85" t="s">
        <v>64</v>
      </c>
      <c r="P30" s="85">
        <v>10000</v>
      </c>
    </row>
    <row r="31" spans="2:20" x14ac:dyDescent="0.35">
      <c r="B31" s="69"/>
      <c r="C31" s="46"/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67"/>
      <c r="O31" s="85" t="s">
        <v>52</v>
      </c>
      <c r="P31" s="86">
        <f>((P26*P27*(1/(P28*P29*(1-0))))/1000)*P30/1000000</f>
        <v>47.226666666666667</v>
      </c>
    </row>
    <row r="32" spans="2:20" x14ac:dyDescent="0.35">
      <c r="B32" s="179" t="s">
        <v>30</v>
      </c>
      <c r="C32" s="180" t="s">
        <v>31</v>
      </c>
      <c r="D32" s="180"/>
      <c r="E32" s="181" t="s">
        <v>32</v>
      </c>
      <c r="F32" s="173" t="s">
        <v>33</v>
      </c>
      <c r="G32" s="173"/>
      <c r="H32" s="181" t="s">
        <v>12</v>
      </c>
      <c r="I32" s="183" t="s">
        <v>34</v>
      </c>
      <c r="J32" s="183"/>
      <c r="K32" s="172" t="s">
        <v>12</v>
      </c>
      <c r="L32" s="173" t="s">
        <v>35</v>
      </c>
      <c r="M32" s="174"/>
      <c r="N32" s="67"/>
      <c r="O32" s="85" t="s">
        <v>78</v>
      </c>
      <c r="P32" s="85">
        <f>VLOOKUP(C9,S7:U11,2)</f>
        <v>656</v>
      </c>
    </row>
    <row r="33" spans="2:16" x14ac:dyDescent="0.35">
      <c r="B33" s="179"/>
      <c r="C33" s="180"/>
      <c r="D33" s="180"/>
      <c r="E33" s="181"/>
      <c r="F33" s="173"/>
      <c r="G33" s="173"/>
      <c r="H33" s="181"/>
      <c r="I33" s="183"/>
      <c r="J33" s="183"/>
      <c r="K33" s="172"/>
      <c r="L33" s="173"/>
      <c r="M33" s="174"/>
      <c r="N33" s="67"/>
      <c r="O33" s="85" t="s">
        <v>29</v>
      </c>
      <c r="P33" s="87">
        <f>D26</f>
        <v>0.8</v>
      </c>
    </row>
    <row r="34" spans="2:16" x14ac:dyDescent="0.35">
      <c r="B34" s="69"/>
      <c r="C34" s="46"/>
      <c r="D34" s="15"/>
      <c r="E34" s="15"/>
      <c r="F34" s="15"/>
      <c r="G34" s="15"/>
      <c r="H34" s="15"/>
      <c r="I34" s="15"/>
      <c r="J34" s="15"/>
      <c r="K34" s="15"/>
      <c r="L34" s="15"/>
      <c r="M34" s="16"/>
      <c r="N34" s="67"/>
      <c r="O34" s="85" t="s">
        <v>54</v>
      </c>
      <c r="P34" s="85">
        <f>((P32*P27*1/P33)/1000000)</f>
        <v>27.06</v>
      </c>
    </row>
    <row r="35" spans="2:16" x14ac:dyDescent="0.35">
      <c r="B35" s="69" t="s">
        <v>30</v>
      </c>
      <c r="C35" s="81">
        <f>P34</f>
        <v>27.06</v>
      </c>
      <c r="D35" s="49" t="s">
        <v>36</v>
      </c>
      <c r="E35" s="46" t="s">
        <v>32</v>
      </c>
      <c r="F35" s="83">
        <f>P39</f>
        <v>24.172615384615384</v>
      </c>
      <c r="G35" s="50" t="s">
        <v>36</v>
      </c>
      <c r="H35" s="46" t="s">
        <v>12</v>
      </c>
      <c r="I35" s="83">
        <f>P31</f>
        <v>47.226666666666667</v>
      </c>
      <c r="J35" s="50" t="s">
        <v>36</v>
      </c>
      <c r="K35" s="46" t="s">
        <v>12</v>
      </c>
      <c r="L35" s="83">
        <f>P40</f>
        <v>20.9496</v>
      </c>
      <c r="M35" s="51" t="s">
        <v>36</v>
      </c>
      <c r="N35" s="67"/>
      <c r="O35" s="85" t="s">
        <v>55</v>
      </c>
      <c r="P35" s="85">
        <v>34800</v>
      </c>
    </row>
    <row r="36" spans="2:16" ht="15" thickBot="1" x14ac:dyDescent="0.4">
      <c r="B36" s="69"/>
      <c r="C36" s="46"/>
      <c r="D36" s="15"/>
      <c r="E36" s="15"/>
      <c r="F36" s="15"/>
      <c r="G36" s="15"/>
      <c r="H36" s="15"/>
      <c r="I36" s="15"/>
      <c r="J36" s="15"/>
      <c r="K36" s="15"/>
      <c r="L36" s="15"/>
      <c r="M36" s="16"/>
      <c r="N36" s="67"/>
      <c r="O36" s="85" t="s">
        <v>79</v>
      </c>
      <c r="P36" s="88">
        <f>VLOOKUP(C9,S14:T18,2)</f>
        <v>903</v>
      </c>
    </row>
    <row r="37" spans="2:16" ht="15" thickBot="1" x14ac:dyDescent="0.4">
      <c r="B37" s="77" t="s">
        <v>30</v>
      </c>
      <c r="C37" s="76">
        <f>C35+F35-I35-L35</f>
        <v>-16.943651282051281</v>
      </c>
      <c r="D37" s="56" t="s">
        <v>36</v>
      </c>
      <c r="E37" s="15"/>
      <c r="F37" s="15"/>
      <c r="G37" s="15"/>
      <c r="H37" s="15"/>
      <c r="I37" s="15"/>
      <c r="J37" s="15"/>
      <c r="K37" s="15"/>
      <c r="L37" s="15"/>
      <c r="M37" s="16"/>
      <c r="N37" s="67"/>
      <c r="O37" s="85" t="s">
        <v>56</v>
      </c>
      <c r="P37" s="85">
        <f>D27</f>
        <v>13</v>
      </c>
    </row>
    <row r="38" spans="2:16" x14ac:dyDescent="0.35">
      <c r="B38" s="69"/>
      <c r="C38" s="46"/>
      <c r="D38" s="15"/>
      <c r="E38" s="15"/>
      <c r="F38" s="15"/>
      <c r="G38" s="15"/>
      <c r="H38" s="15"/>
      <c r="I38" s="15"/>
      <c r="J38" s="15"/>
      <c r="K38" s="15"/>
      <c r="L38" s="15"/>
      <c r="M38" s="16"/>
      <c r="N38" s="67"/>
      <c r="O38" s="85" t="s">
        <v>57</v>
      </c>
      <c r="P38" s="85">
        <f>D30</f>
        <v>15</v>
      </c>
    </row>
    <row r="39" spans="2:16" x14ac:dyDescent="0.35">
      <c r="B39" s="70" t="s">
        <v>37</v>
      </c>
      <c r="C39" s="175" t="s">
        <v>43</v>
      </c>
      <c r="D39" s="175"/>
      <c r="E39" s="175"/>
      <c r="F39" s="175"/>
      <c r="G39" s="175"/>
      <c r="H39" s="175"/>
      <c r="I39" s="175"/>
      <c r="J39" s="175"/>
      <c r="K39" s="175"/>
      <c r="L39" s="175"/>
      <c r="M39" s="176"/>
      <c r="N39" s="67"/>
      <c r="O39" s="85" t="s">
        <v>58</v>
      </c>
      <c r="P39" s="85">
        <f>(P36*P35*(1/P37)/1000)*P30/1000000</f>
        <v>24.172615384615384</v>
      </c>
    </row>
    <row r="40" spans="2:16" x14ac:dyDescent="0.35">
      <c r="B40" s="71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8"/>
      <c r="N40" s="68"/>
      <c r="O40" s="85" t="s">
        <v>59</v>
      </c>
      <c r="P40" s="86">
        <f>(P36*P35*(1/P38)/1000)*P30/1000000</f>
        <v>20.9496</v>
      </c>
    </row>
    <row r="42" spans="2:16" ht="20.399999999999999" customHeight="1" x14ac:dyDescent="0.35"/>
    <row r="43" spans="2:16" ht="18.5" x14ac:dyDescent="0.45">
      <c r="B43" s="79" t="s">
        <v>41</v>
      </c>
      <c r="C43" s="52"/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65"/>
      <c r="O43" s="65"/>
      <c r="P43" s="66"/>
    </row>
    <row r="44" spans="2:16" x14ac:dyDescent="0.35">
      <c r="B44" s="69"/>
      <c r="C44" s="46"/>
      <c r="D44" s="15"/>
      <c r="E44" s="15"/>
      <c r="F44" s="15"/>
      <c r="G44" s="15"/>
      <c r="H44" s="15"/>
      <c r="I44" s="15"/>
      <c r="J44" s="15"/>
      <c r="K44" s="15"/>
      <c r="L44" s="15"/>
      <c r="M44" s="16"/>
      <c r="N44" s="67"/>
      <c r="O44" s="169" t="s">
        <v>61</v>
      </c>
      <c r="P44" s="170"/>
    </row>
    <row r="45" spans="2:16" x14ac:dyDescent="0.35">
      <c r="B45" s="69" t="s">
        <v>23</v>
      </c>
      <c r="C45" s="46" t="s">
        <v>28</v>
      </c>
      <c r="D45" s="93">
        <f>D26</f>
        <v>0.8</v>
      </c>
      <c r="E45" s="15" t="s">
        <v>29</v>
      </c>
      <c r="F45" s="15"/>
      <c r="G45" s="15"/>
      <c r="H45" s="15"/>
      <c r="I45" s="15"/>
      <c r="J45" s="15"/>
      <c r="K45" s="15"/>
      <c r="L45" s="15"/>
      <c r="M45" s="16"/>
      <c r="N45" s="67"/>
      <c r="O45" s="85" t="s">
        <v>63</v>
      </c>
      <c r="P45" s="85">
        <f>VLOOKUP(C9, S7:U11,3, )</f>
        <v>1288</v>
      </c>
    </row>
    <row r="46" spans="2:16" x14ac:dyDescent="0.35">
      <c r="B46" s="69" t="s">
        <v>24</v>
      </c>
      <c r="C46" s="46" t="s">
        <v>22</v>
      </c>
      <c r="D46" s="94">
        <f>D27</f>
        <v>13</v>
      </c>
      <c r="E46" s="15" t="s">
        <v>38</v>
      </c>
      <c r="F46" s="15"/>
      <c r="G46" s="15"/>
      <c r="H46" s="15"/>
      <c r="I46" s="15"/>
      <c r="J46" s="15"/>
      <c r="K46" s="15"/>
      <c r="L46" s="15"/>
      <c r="M46" s="16"/>
      <c r="N46" s="67"/>
      <c r="O46" s="85" t="s">
        <v>48</v>
      </c>
      <c r="P46" s="85">
        <v>33000</v>
      </c>
    </row>
    <row r="47" spans="2:16" x14ac:dyDescent="0.35">
      <c r="B47" s="69" t="s">
        <v>60</v>
      </c>
      <c r="C47" s="47" t="str">
        <f>C9</f>
        <v>5 (Marion, IL)</v>
      </c>
      <c r="D47" s="92"/>
      <c r="E47" s="15"/>
      <c r="F47" s="15"/>
      <c r="G47" s="15"/>
      <c r="H47" s="15"/>
      <c r="I47" s="15"/>
      <c r="J47" s="15"/>
      <c r="K47" s="15"/>
      <c r="L47" s="15"/>
      <c r="M47" s="16"/>
      <c r="N47" s="67"/>
      <c r="O47" s="85" t="s">
        <v>50</v>
      </c>
      <c r="P47" s="85">
        <f>D48</f>
        <v>9</v>
      </c>
    </row>
    <row r="48" spans="2:16" x14ac:dyDescent="0.35">
      <c r="B48" s="69" t="s">
        <v>25</v>
      </c>
      <c r="C48" s="15" t="s">
        <v>27</v>
      </c>
      <c r="D48" s="94">
        <f>D29</f>
        <v>9</v>
      </c>
      <c r="E48" s="15" t="s">
        <v>53</v>
      </c>
      <c r="F48" s="15"/>
      <c r="G48" s="15"/>
      <c r="H48" s="15"/>
      <c r="I48" s="15"/>
      <c r="J48" s="15"/>
      <c r="K48" s="15"/>
      <c r="L48" s="15"/>
      <c r="M48" s="16"/>
      <c r="N48" s="67"/>
      <c r="O48" s="85" t="s">
        <v>51</v>
      </c>
      <c r="P48" s="85">
        <v>1</v>
      </c>
    </row>
    <row r="49" spans="2:16" x14ac:dyDescent="0.35">
      <c r="B49" s="69" t="s">
        <v>26</v>
      </c>
      <c r="C49" s="15" t="s">
        <v>27</v>
      </c>
      <c r="D49" s="94">
        <f>D30</f>
        <v>15</v>
      </c>
      <c r="E49" s="11" t="s">
        <v>38</v>
      </c>
      <c r="F49" s="15"/>
      <c r="G49" s="15"/>
      <c r="H49" s="15"/>
      <c r="I49" s="15"/>
      <c r="J49" s="15"/>
      <c r="K49" s="15"/>
      <c r="L49" s="15"/>
      <c r="M49" s="16"/>
      <c r="N49" s="67"/>
      <c r="O49" s="85" t="s">
        <v>64</v>
      </c>
      <c r="P49" s="85">
        <v>10000</v>
      </c>
    </row>
    <row r="50" spans="2:16" x14ac:dyDescent="0.35">
      <c r="B50" s="69"/>
      <c r="C50" s="46"/>
      <c r="D50" s="15"/>
      <c r="E50" s="15"/>
      <c r="F50" s="15"/>
      <c r="G50" s="15"/>
      <c r="H50" s="15"/>
      <c r="I50" s="15"/>
      <c r="J50" s="15"/>
      <c r="K50" s="15"/>
      <c r="L50" s="15"/>
      <c r="M50" s="16"/>
      <c r="N50" s="67"/>
      <c r="O50" s="85" t="s">
        <v>52</v>
      </c>
      <c r="P50" s="86">
        <f>((P45*P46*(1/(P47*P48*(1-0))))/1000)*P49/1000000</f>
        <v>47.226666666666667</v>
      </c>
    </row>
    <row r="51" spans="2:16" x14ac:dyDescent="0.35">
      <c r="B51" s="179" t="s">
        <v>30</v>
      </c>
      <c r="C51" s="184" t="s">
        <v>31</v>
      </c>
      <c r="D51" s="184"/>
      <c r="E51" s="181" t="s">
        <v>32</v>
      </c>
      <c r="F51" s="173" t="s">
        <v>33</v>
      </c>
      <c r="G51" s="173"/>
      <c r="H51" s="181" t="s">
        <v>12</v>
      </c>
      <c r="I51" s="183" t="s">
        <v>34</v>
      </c>
      <c r="J51" s="183"/>
      <c r="K51" s="172" t="s">
        <v>12</v>
      </c>
      <c r="L51" s="173" t="s">
        <v>35</v>
      </c>
      <c r="M51" s="174"/>
      <c r="N51" s="67"/>
      <c r="O51" s="85" t="s">
        <v>62</v>
      </c>
      <c r="P51" s="85">
        <f>VLOOKUP(C9,S7:U11,2)</f>
        <v>656</v>
      </c>
    </row>
    <row r="52" spans="2:16" x14ac:dyDescent="0.35">
      <c r="B52" s="179"/>
      <c r="C52" s="184"/>
      <c r="D52" s="184"/>
      <c r="E52" s="181"/>
      <c r="F52" s="173"/>
      <c r="G52" s="173"/>
      <c r="H52" s="181"/>
      <c r="I52" s="183"/>
      <c r="J52" s="183"/>
      <c r="K52" s="172"/>
      <c r="L52" s="173"/>
      <c r="M52" s="174"/>
      <c r="N52" s="67"/>
      <c r="O52" s="85" t="s">
        <v>29</v>
      </c>
      <c r="P52" s="87">
        <f>D45</f>
        <v>0.8</v>
      </c>
    </row>
    <row r="53" spans="2:16" x14ac:dyDescent="0.35">
      <c r="B53" s="69"/>
      <c r="C53" s="46"/>
      <c r="D53" s="15"/>
      <c r="E53" s="15"/>
      <c r="F53" s="15"/>
      <c r="G53" s="15"/>
      <c r="H53" s="15"/>
      <c r="I53" s="15"/>
      <c r="J53" s="15"/>
      <c r="K53" s="15"/>
      <c r="L53" s="15"/>
      <c r="M53" s="16"/>
      <c r="N53" s="67"/>
      <c r="O53" s="85" t="s">
        <v>54</v>
      </c>
      <c r="P53" s="85">
        <f>((P51*P46*1/P52)/1000000)</f>
        <v>27.06</v>
      </c>
    </row>
    <row r="54" spans="2:16" x14ac:dyDescent="0.35">
      <c r="B54" s="69" t="s">
        <v>30</v>
      </c>
      <c r="C54" s="58">
        <f>P53*1.01</f>
        <v>27.3306</v>
      </c>
      <c r="D54" s="50" t="s">
        <v>36</v>
      </c>
      <c r="E54" s="46" t="s">
        <v>32</v>
      </c>
      <c r="F54" s="83">
        <f>P58</f>
        <v>24.172615384615384</v>
      </c>
      <c r="G54" s="50" t="s">
        <v>36</v>
      </c>
      <c r="H54" s="46" t="s">
        <v>12</v>
      </c>
      <c r="I54" s="83">
        <f>P50</f>
        <v>47.226666666666667</v>
      </c>
      <c r="J54" s="50" t="s">
        <v>36</v>
      </c>
      <c r="K54" s="46" t="s">
        <v>12</v>
      </c>
      <c r="L54" s="83">
        <f>P59</f>
        <v>20.9496</v>
      </c>
      <c r="M54" s="51" t="s">
        <v>36</v>
      </c>
      <c r="N54" s="67"/>
      <c r="O54" s="85" t="s">
        <v>55</v>
      </c>
      <c r="P54" s="85">
        <v>34800</v>
      </c>
    </row>
    <row r="55" spans="2:16" ht="15" thickBot="1" x14ac:dyDescent="0.4">
      <c r="B55" s="69"/>
      <c r="C55" s="46"/>
      <c r="D55" s="15"/>
      <c r="E55" s="15"/>
      <c r="F55" s="15"/>
      <c r="G55" s="15"/>
      <c r="H55" s="15"/>
      <c r="I55" s="15"/>
      <c r="J55" s="15"/>
      <c r="K55" s="15"/>
      <c r="L55" s="15"/>
      <c r="M55" s="16"/>
      <c r="N55" s="67"/>
      <c r="O55" s="85" t="s">
        <v>79</v>
      </c>
      <c r="P55" s="88">
        <f>VLOOKUP(C9,S14:T18,2)</f>
        <v>903</v>
      </c>
    </row>
    <row r="56" spans="2:16" ht="15" thickBot="1" x14ac:dyDescent="0.4">
      <c r="B56" s="77" t="s">
        <v>30</v>
      </c>
      <c r="C56" s="76">
        <f>C54+F54-I54-L54</f>
        <v>-16.673051282051279</v>
      </c>
      <c r="D56" s="56" t="s">
        <v>36</v>
      </c>
      <c r="E56" s="15"/>
      <c r="F56" s="15"/>
      <c r="G56" s="15"/>
      <c r="H56" s="15"/>
      <c r="I56" s="15"/>
      <c r="J56" s="15"/>
      <c r="K56" s="15"/>
      <c r="L56" s="15"/>
      <c r="M56" s="16"/>
      <c r="N56" s="67"/>
      <c r="O56" s="85" t="s">
        <v>56</v>
      </c>
      <c r="P56" s="85">
        <f>D46</f>
        <v>13</v>
      </c>
    </row>
    <row r="57" spans="2:16" x14ac:dyDescent="0.35">
      <c r="B57" s="69"/>
      <c r="C57" s="46"/>
      <c r="D57" s="15"/>
      <c r="E57" s="15"/>
      <c r="F57" s="15"/>
      <c r="G57" s="15"/>
      <c r="H57" s="15"/>
      <c r="I57" s="15"/>
      <c r="J57" s="15"/>
      <c r="K57" s="15"/>
      <c r="L57" s="15"/>
      <c r="M57" s="16"/>
      <c r="N57" s="67"/>
      <c r="O57" s="85" t="s">
        <v>57</v>
      </c>
      <c r="P57" s="85">
        <f>D49</f>
        <v>15</v>
      </c>
    </row>
    <row r="58" spans="2:16" x14ac:dyDescent="0.35">
      <c r="B58" s="70" t="s">
        <v>37</v>
      </c>
      <c r="C58" s="175" t="s">
        <v>43</v>
      </c>
      <c r="D58" s="175"/>
      <c r="E58" s="175"/>
      <c r="F58" s="175"/>
      <c r="G58" s="175"/>
      <c r="H58" s="175"/>
      <c r="I58" s="175"/>
      <c r="J58" s="175"/>
      <c r="K58" s="175"/>
      <c r="L58" s="175"/>
      <c r="M58" s="176"/>
      <c r="N58" s="67"/>
      <c r="O58" s="85" t="s">
        <v>58</v>
      </c>
      <c r="P58" s="85">
        <f>(P55*P54*(1/P56)/1000)*P49/1000000</f>
        <v>24.172615384615384</v>
      </c>
    </row>
    <row r="59" spans="2:16" x14ac:dyDescent="0.35">
      <c r="B59" s="71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8"/>
      <c r="N59" s="68"/>
      <c r="O59" s="85" t="s">
        <v>59</v>
      </c>
      <c r="P59" s="86">
        <f>(P55*P54*(1/P57)/1000)*P49/1000000</f>
        <v>20.9496</v>
      </c>
    </row>
    <row r="61" spans="2:16" ht="112.75" customHeight="1" x14ac:dyDescent="0.35"/>
    <row r="62" spans="2:16" ht="18.5" x14ac:dyDescent="0.45">
      <c r="B62" s="79" t="s">
        <v>71</v>
      </c>
      <c r="C62" s="52"/>
      <c r="D62" s="53"/>
      <c r="E62" s="53"/>
      <c r="F62" s="53"/>
      <c r="G62" s="53"/>
      <c r="H62" s="53"/>
      <c r="I62" s="53"/>
      <c r="J62" s="53"/>
      <c r="K62" s="53"/>
      <c r="L62" s="53"/>
      <c r="M62" s="54"/>
      <c r="N62" s="65"/>
      <c r="O62" s="65"/>
      <c r="P62" s="66"/>
    </row>
    <row r="63" spans="2:16" x14ac:dyDescent="0.35">
      <c r="B63" s="69"/>
      <c r="C63" s="46"/>
      <c r="D63" s="15"/>
      <c r="E63" s="15"/>
      <c r="F63" s="15"/>
      <c r="G63" s="15"/>
      <c r="H63" s="15"/>
      <c r="I63" s="15"/>
      <c r="J63" s="15"/>
      <c r="K63" s="15"/>
      <c r="L63" s="15"/>
      <c r="M63" s="16"/>
      <c r="N63" s="67"/>
      <c r="O63" s="169" t="s">
        <v>61</v>
      </c>
      <c r="P63" s="170"/>
    </row>
    <row r="64" spans="2:16" x14ac:dyDescent="0.35">
      <c r="B64" s="69" t="s">
        <v>23</v>
      </c>
      <c r="C64" s="46" t="s">
        <v>28</v>
      </c>
      <c r="D64" s="93">
        <f>D45</f>
        <v>0.8</v>
      </c>
      <c r="E64" s="15" t="s">
        <v>29</v>
      </c>
      <c r="F64" s="15"/>
      <c r="G64" s="15"/>
      <c r="H64" s="15"/>
      <c r="I64" s="15"/>
      <c r="J64" s="15"/>
      <c r="K64" s="15"/>
      <c r="L64" s="15"/>
      <c r="M64" s="16"/>
      <c r="N64" s="67"/>
      <c r="O64" s="85" t="s">
        <v>49</v>
      </c>
      <c r="P64" s="85">
        <f>VLOOKUP(C9, S7:U11,3, )</f>
        <v>1288</v>
      </c>
    </row>
    <row r="65" spans="2:16" x14ac:dyDescent="0.35">
      <c r="B65" s="69" t="s">
        <v>24</v>
      </c>
      <c r="C65" s="46" t="s">
        <v>22</v>
      </c>
      <c r="D65" s="94">
        <f>D46</f>
        <v>13</v>
      </c>
      <c r="E65" s="15" t="s">
        <v>38</v>
      </c>
      <c r="F65" s="15"/>
      <c r="G65" s="15"/>
      <c r="H65" s="15"/>
      <c r="I65" s="15"/>
      <c r="J65" s="15"/>
      <c r="K65" s="15"/>
      <c r="L65" s="15"/>
      <c r="M65" s="16"/>
      <c r="N65" s="67"/>
      <c r="O65" s="85" t="s">
        <v>48</v>
      </c>
      <c r="P65" s="85">
        <v>33000</v>
      </c>
    </row>
    <row r="66" spans="2:16" x14ac:dyDescent="0.35">
      <c r="B66" s="69" t="s">
        <v>60</v>
      </c>
      <c r="C66" s="47" t="str">
        <f>C9</f>
        <v>5 (Marion, IL)</v>
      </c>
      <c r="D66" s="92"/>
      <c r="E66" s="15"/>
      <c r="F66" s="15"/>
      <c r="G66" s="15"/>
      <c r="H66" s="15"/>
      <c r="I66" s="15"/>
      <c r="J66" s="15"/>
      <c r="K66" s="15"/>
      <c r="L66" s="15"/>
      <c r="M66" s="16"/>
      <c r="N66" s="67"/>
      <c r="O66" s="85" t="s">
        <v>50</v>
      </c>
      <c r="P66" s="85">
        <f>D67</f>
        <v>9</v>
      </c>
    </row>
    <row r="67" spans="2:16" x14ac:dyDescent="0.35">
      <c r="B67" s="69" t="s">
        <v>25</v>
      </c>
      <c r="C67" s="15" t="s">
        <v>27</v>
      </c>
      <c r="D67" s="94">
        <f>D48</f>
        <v>9</v>
      </c>
      <c r="E67" s="15" t="s">
        <v>53</v>
      </c>
      <c r="F67" s="15"/>
      <c r="G67" s="15"/>
      <c r="H67" s="15"/>
      <c r="I67" s="15"/>
      <c r="J67" s="15"/>
      <c r="K67" s="15"/>
      <c r="L67" s="15"/>
      <c r="M67" s="16"/>
      <c r="N67" s="67"/>
      <c r="O67" s="85" t="s">
        <v>51</v>
      </c>
      <c r="P67" s="85">
        <v>1</v>
      </c>
    </row>
    <row r="68" spans="2:16" x14ac:dyDescent="0.35">
      <c r="B68" s="69" t="s">
        <v>26</v>
      </c>
      <c r="C68" s="15" t="s">
        <v>27</v>
      </c>
      <c r="D68" s="94">
        <f>D49</f>
        <v>15</v>
      </c>
      <c r="E68" s="11" t="s">
        <v>38</v>
      </c>
      <c r="F68" s="15"/>
      <c r="G68" s="15"/>
      <c r="H68" s="15"/>
      <c r="I68" s="15"/>
      <c r="J68" s="15"/>
      <c r="K68" s="15"/>
      <c r="L68" s="15"/>
      <c r="M68" s="16"/>
      <c r="N68" s="67"/>
      <c r="O68" s="85" t="s">
        <v>64</v>
      </c>
      <c r="P68" s="85">
        <v>10000</v>
      </c>
    </row>
    <row r="69" spans="2:16" x14ac:dyDescent="0.35">
      <c r="B69" s="69"/>
      <c r="C69" s="46"/>
      <c r="D69" s="15"/>
      <c r="E69" s="15"/>
      <c r="F69" s="15"/>
      <c r="G69" s="15"/>
      <c r="H69" s="15"/>
      <c r="I69" s="15"/>
      <c r="J69" s="15"/>
      <c r="K69" s="15"/>
      <c r="L69" s="15"/>
      <c r="M69" s="16"/>
      <c r="N69" s="67"/>
      <c r="O69" s="85" t="s">
        <v>52</v>
      </c>
      <c r="P69" s="86">
        <f>((P64*P65*(1/(P66*P67*(1-0))))/1000)*P68/1000000</f>
        <v>47.226666666666667</v>
      </c>
    </row>
    <row r="70" spans="2:16" x14ac:dyDescent="0.35">
      <c r="B70" s="179" t="s">
        <v>39</v>
      </c>
      <c r="C70" s="180" t="s">
        <v>31</v>
      </c>
      <c r="D70" s="180"/>
      <c r="E70" s="181" t="s">
        <v>32</v>
      </c>
      <c r="F70" s="167" t="s">
        <v>33</v>
      </c>
      <c r="G70" s="167"/>
      <c r="H70" s="181" t="s">
        <v>12</v>
      </c>
      <c r="I70" s="182" t="s">
        <v>34</v>
      </c>
      <c r="J70" s="182"/>
      <c r="K70" s="172" t="s">
        <v>12</v>
      </c>
      <c r="L70" s="167" t="s">
        <v>35</v>
      </c>
      <c r="M70" s="168"/>
      <c r="N70" s="67"/>
      <c r="O70" s="85" t="s">
        <v>78</v>
      </c>
      <c r="P70" s="85">
        <f>VLOOKUP(C9,S7:U11,2)</f>
        <v>656</v>
      </c>
    </row>
    <row r="71" spans="2:16" x14ac:dyDescent="0.35">
      <c r="B71" s="179"/>
      <c r="C71" s="180"/>
      <c r="D71" s="180"/>
      <c r="E71" s="181"/>
      <c r="F71" s="167"/>
      <c r="G71" s="167"/>
      <c r="H71" s="181"/>
      <c r="I71" s="182"/>
      <c r="J71" s="182"/>
      <c r="K71" s="172"/>
      <c r="L71" s="167"/>
      <c r="M71" s="168"/>
      <c r="N71" s="67"/>
      <c r="O71" s="85" t="s">
        <v>29</v>
      </c>
      <c r="P71" s="87">
        <f>D64</f>
        <v>0.8</v>
      </c>
    </row>
    <row r="72" spans="2:16" x14ac:dyDescent="0.35">
      <c r="B72" s="69"/>
      <c r="C72" s="46"/>
      <c r="D72" s="15"/>
      <c r="E72" s="15"/>
      <c r="F72" s="15"/>
      <c r="G72" s="15"/>
      <c r="H72" s="15"/>
      <c r="I72" s="15"/>
      <c r="J72" s="15"/>
      <c r="K72" s="15"/>
      <c r="L72" s="15"/>
      <c r="M72" s="16"/>
      <c r="N72" s="67"/>
      <c r="O72" s="85" t="s">
        <v>54</v>
      </c>
      <c r="P72" s="85">
        <f>((P70*P65*1/P71)/1000000)</f>
        <v>27.06</v>
      </c>
    </row>
    <row r="73" spans="2:16" x14ac:dyDescent="0.35">
      <c r="B73" s="69" t="s">
        <v>39</v>
      </c>
      <c r="C73" s="81">
        <f>P72</f>
        <v>27.06</v>
      </c>
      <c r="D73" s="49" t="s">
        <v>36</v>
      </c>
      <c r="E73" s="46" t="s">
        <v>32</v>
      </c>
      <c r="F73" s="82">
        <f>P77/(P68/3412)</f>
        <v>8.2476963692307681</v>
      </c>
      <c r="G73" s="49" t="s">
        <v>36</v>
      </c>
      <c r="H73" s="46" t="s">
        <v>12</v>
      </c>
      <c r="I73" s="82">
        <f>P69/(P68/3412)</f>
        <v>16.113738666666666</v>
      </c>
      <c r="J73" s="49" t="s">
        <v>36</v>
      </c>
      <c r="K73" s="46" t="s">
        <v>12</v>
      </c>
      <c r="L73" s="82">
        <f>P78/(10000/3412)</f>
        <v>7.1480035199999996</v>
      </c>
      <c r="M73" s="55" t="s">
        <v>36</v>
      </c>
      <c r="N73" s="67"/>
      <c r="O73" s="85" t="s">
        <v>55</v>
      </c>
      <c r="P73" s="85">
        <v>34800</v>
      </c>
    </row>
    <row r="74" spans="2:16" ht="15" thickBot="1" x14ac:dyDescent="0.4">
      <c r="B74" s="69"/>
      <c r="C74" s="46"/>
      <c r="D74" s="15"/>
      <c r="E74" s="15"/>
      <c r="F74" s="15"/>
      <c r="G74" s="15"/>
      <c r="H74" s="15"/>
      <c r="I74" s="15"/>
      <c r="J74" s="15"/>
      <c r="K74" s="15"/>
      <c r="L74" s="15"/>
      <c r="M74" s="16"/>
      <c r="N74" s="67"/>
      <c r="O74" s="85" t="s">
        <v>79</v>
      </c>
      <c r="P74" s="88">
        <f>VLOOKUP(C9,S14:T18,2)</f>
        <v>903</v>
      </c>
    </row>
    <row r="75" spans="2:16" ht="15" thickBot="1" x14ac:dyDescent="0.4">
      <c r="B75" s="77" t="s">
        <v>39</v>
      </c>
      <c r="C75" s="78">
        <f>C73+F73-I73-L73</f>
        <v>12.045954182564103</v>
      </c>
      <c r="D75" s="56" t="s">
        <v>36</v>
      </c>
      <c r="E75" s="15"/>
      <c r="F75" s="15"/>
      <c r="G75" s="15"/>
      <c r="H75" s="15"/>
      <c r="I75" s="15"/>
      <c r="J75" s="15"/>
      <c r="K75" s="15"/>
      <c r="L75" s="15"/>
      <c r="M75" s="16"/>
      <c r="N75" s="67"/>
      <c r="O75" s="85" t="s">
        <v>56</v>
      </c>
      <c r="P75" s="85">
        <f>D65</f>
        <v>13</v>
      </c>
    </row>
    <row r="76" spans="2:16" x14ac:dyDescent="0.35">
      <c r="B76" s="70" t="s">
        <v>37</v>
      </c>
      <c r="C76" s="48" t="s">
        <v>44</v>
      </c>
      <c r="D76" s="15"/>
      <c r="E76" s="15"/>
      <c r="F76" s="15"/>
      <c r="G76" s="15"/>
      <c r="H76" s="15"/>
      <c r="I76" s="15"/>
      <c r="J76" s="15"/>
      <c r="K76" s="15"/>
      <c r="L76" s="15"/>
      <c r="M76" s="16"/>
      <c r="N76" s="67"/>
      <c r="O76" s="85" t="s">
        <v>57</v>
      </c>
      <c r="P76" s="85">
        <f>D68</f>
        <v>15</v>
      </c>
    </row>
    <row r="77" spans="2:16" ht="15" thickBot="1" x14ac:dyDescent="0.4">
      <c r="B77" s="69"/>
      <c r="C77" s="46"/>
      <c r="D77" s="15"/>
      <c r="E77" s="15"/>
      <c r="F77" s="15"/>
      <c r="G77" s="15"/>
      <c r="H77" s="15"/>
      <c r="I77" s="15"/>
      <c r="J77" s="15"/>
      <c r="K77" s="15"/>
      <c r="L77" s="15"/>
      <c r="M77" s="16"/>
      <c r="N77" s="67"/>
      <c r="O77" s="85" t="s">
        <v>58</v>
      </c>
      <c r="P77" s="85">
        <f>(P74*P73*(1/P75)/1000)*P68/1000000</f>
        <v>24.172615384615384</v>
      </c>
    </row>
    <row r="78" spans="2:16" ht="15" thickBot="1" x14ac:dyDescent="0.4">
      <c r="B78" s="108" t="s">
        <v>95</v>
      </c>
      <c r="C78" s="109">
        <f>C75*10*29.3</f>
        <v>3529.4645754912822</v>
      </c>
      <c r="D78" s="110" t="s">
        <v>17</v>
      </c>
      <c r="E78" s="15"/>
      <c r="F78" s="15"/>
      <c r="G78" s="15"/>
      <c r="H78" s="15"/>
      <c r="I78" s="15"/>
      <c r="J78" s="15"/>
      <c r="K78" s="15"/>
      <c r="L78" s="15"/>
      <c r="M78" s="16"/>
      <c r="N78" s="68"/>
      <c r="O78" s="85" t="s">
        <v>59</v>
      </c>
      <c r="P78" s="86">
        <f>(P74*P73*(1/P76)/1000)*P68/1000000</f>
        <v>20.9496</v>
      </c>
    </row>
    <row r="79" spans="2:16" ht="15" thickBot="1" x14ac:dyDescent="0.4">
      <c r="B79" s="105" t="s">
        <v>96</v>
      </c>
      <c r="C79" s="106">
        <v>0</v>
      </c>
      <c r="D79" s="107" t="s">
        <v>17</v>
      </c>
      <c r="E79" s="59" t="s">
        <v>97</v>
      </c>
      <c r="F79" s="59"/>
      <c r="G79" s="59"/>
      <c r="H79" s="59"/>
      <c r="I79" s="18"/>
      <c r="J79" s="18"/>
      <c r="K79" s="18"/>
      <c r="L79" s="18"/>
      <c r="M79" s="19"/>
    </row>
    <row r="80" spans="2:16" x14ac:dyDescent="0.35">
      <c r="C80" s="104"/>
    </row>
    <row r="83" spans="5:5" x14ac:dyDescent="0.35">
      <c r="E83" s="15"/>
    </row>
  </sheetData>
  <mergeCells count="43">
    <mergeCell ref="D2:E2"/>
    <mergeCell ref="F2:G2"/>
    <mergeCell ref="B13:B14"/>
    <mergeCell ref="C13:D14"/>
    <mergeCell ref="E13:E14"/>
    <mergeCell ref="F13:G14"/>
    <mergeCell ref="B32:B33"/>
    <mergeCell ref="C32:D33"/>
    <mergeCell ref="E32:E33"/>
    <mergeCell ref="F32:G33"/>
    <mergeCell ref="H32:H33"/>
    <mergeCell ref="H13:H14"/>
    <mergeCell ref="I13:J14"/>
    <mergeCell ref="K13:K14"/>
    <mergeCell ref="L13:M14"/>
    <mergeCell ref="C20:M21"/>
    <mergeCell ref="B51:B52"/>
    <mergeCell ref="C51:D52"/>
    <mergeCell ref="E51:E52"/>
    <mergeCell ref="F51:G52"/>
    <mergeCell ref="H51:H52"/>
    <mergeCell ref="K70:K71"/>
    <mergeCell ref="I32:J33"/>
    <mergeCell ref="K32:K33"/>
    <mergeCell ref="L32:M33"/>
    <mergeCell ref="C39:M40"/>
    <mergeCell ref="I51:J52"/>
    <mergeCell ref="B1:M1"/>
    <mergeCell ref="L70:M71"/>
    <mergeCell ref="O6:P6"/>
    <mergeCell ref="S5:U5"/>
    <mergeCell ref="O25:P25"/>
    <mergeCell ref="O44:P44"/>
    <mergeCell ref="O63:P63"/>
    <mergeCell ref="K51:K52"/>
    <mergeCell ref="L51:M52"/>
    <mergeCell ref="C58:M59"/>
    <mergeCell ref="B70:B71"/>
    <mergeCell ref="C70:D71"/>
    <mergeCell ref="E70:E71"/>
    <mergeCell ref="F70:G71"/>
    <mergeCell ref="H70:H71"/>
    <mergeCell ref="I70:J71"/>
  </mergeCells>
  <dataValidations count="1">
    <dataValidation type="list" allowBlank="1" showInputMessage="1" showErrorMessage="1" sqref="C9" xr:uid="{00000000-0002-0000-0100-000000000000}">
      <formula1>$S$7:$S$11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53"/>
  <sheetViews>
    <sheetView showGridLines="0" workbookViewId="0">
      <pane xSplit="1" ySplit="21" topLeftCell="B26" activePane="bottomRight" state="frozen"/>
      <selection pane="topRight" activeCell="B1" sqref="B1"/>
      <selection pane="bottomLeft" activeCell="A22" sqref="A22"/>
      <selection pane="bottomRight" activeCell="L35" sqref="L35"/>
    </sheetView>
  </sheetViews>
  <sheetFormatPr defaultRowHeight="14.5" x14ac:dyDescent="0.35"/>
  <cols>
    <col min="1" max="1" width="1.453125" customWidth="1"/>
    <col min="2" max="2" width="29.08984375" style="32" customWidth="1"/>
    <col min="3" max="3" width="29.36328125" style="3" customWidth="1"/>
    <col min="4" max="4" width="27.36328125" customWidth="1"/>
    <col min="5" max="5" width="19.7265625" customWidth="1"/>
    <col min="6" max="6" width="20.26953125" customWidth="1"/>
    <col min="7" max="7" width="7.6328125" customWidth="1"/>
    <col min="8" max="8" width="20.90625" customWidth="1"/>
    <col min="9" max="9" width="9.26953125" customWidth="1"/>
    <col min="10" max="10" width="10.6328125" customWidth="1"/>
    <col min="14" max="14" width="2.453125" customWidth="1"/>
    <col min="15" max="15" width="82.26953125" hidden="1" customWidth="1"/>
    <col min="16" max="16" width="10.453125" hidden="1" customWidth="1"/>
    <col min="17" max="17" width="2.90625" customWidth="1"/>
    <col min="18" max="18" width="16" customWidth="1"/>
    <col min="19" max="19" width="19.90625" customWidth="1"/>
    <col min="20" max="20" width="18.7265625" customWidth="1"/>
    <col min="21" max="21" width="18.26953125" customWidth="1"/>
  </cols>
  <sheetData>
    <row r="1" spans="2:20" ht="11.5" customHeight="1" thickBot="1" x14ac:dyDescent="0.4"/>
    <row r="2" spans="2:20" ht="15" thickBot="1" x14ac:dyDescent="0.4">
      <c r="C2" s="3" t="s">
        <v>46</v>
      </c>
      <c r="D2" s="185" t="s">
        <v>45</v>
      </c>
      <c r="E2" s="186"/>
      <c r="F2" s="187" t="s">
        <v>47</v>
      </c>
      <c r="G2" s="188"/>
      <c r="I2" s="61" t="s">
        <v>72</v>
      </c>
    </row>
    <row r="3" spans="2:20" ht="7.5" customHeight="1" x14ac:dyDescent="0.35"/>
    <row r="4" spans="2:20" ht="18.5" hidden="1" x14ac:dyDescent="0.45">
      <c r="B4" s="79" t="s">
        <v>42</v>
      </c>
      <c r="C4" s="52"/>
      <c r="D4" s="53"/>
      <c r="E4" s="53"/>
      <c r="F4" s="53"/>
      <c r="G4" s="53"/>
      <c r="H4" s="53"/>
      <c r="I4" s="53"/>
      <c r="J4" s="53"/>
      <c r="K4" s="53"/>
      <c r="L4" s="53"/>
      <c r="M4" s="54"/>
      <c r="N4" s="65"/>
      <c r="O4" s="65"/>
      <c r="P4" s="66"/>
      <c r="R4" s="171" t="s">
        <v>66</v>
      </c>
      <c r="S4" s="171"/>
      <c r="T4" s="171"/>
    </row>
    <row r="5" spans="2:20" ht="29.9" hidden="1" customHeight="1" thickBot="1" x14ac:dyDescent="0.4">
      <c r="B5" s="69"/>
      <c r="C5" s="46"/>
      <c r="D5" s="15"/>
      <c r="E5" s="15"/>
      <c r="F5" s="15"/>
      <c r="G5" s="15"/>
      <c r="H5" s="15"/>
      <c r="I5" s="15"/>
      <c r="J5" s="15"/>
      <c r="K5" s="15"/>
      <c r="L5" s="15"/>
      <c r="M5" s="16"/>
      <c r="N5" s="67"/>
      <c r="O5" s="169" t="s">
        <v>61</v>
      </c>
      <c r="P5" s="170"/>
      <c r="R5" s="75" t="s">
        <v>65</v>
      </c>
      <c r="S5" s="75" t="s">
        <v>67</v>
      </c>
      <c r="T5" s="75" t="s">
        <v>68</v>
      </c>
    </row>
    <row r="6" spans="2:20" hidden="1" x14ac:dyDescent="0.35">
      <c r="B6" s="69" t="s">
        <v>23</v>
      </c>
      <c r="C6" s="46" t="s">
        <v>28</v>
      </c>
      <c r="D6" s="95">
        <v>0.8</v>
      </c>
      <c r="E6" s="15" t="s">
        <v>29</v>
      </c>
      <c r="F6" s="15"/>
      <c r="G6" s="15"/>
      <c r="H6" s="15"/>
      <c r="I6" s="15"/>
      <c r="J6" s="15"/>
      <c r="K6" s="15"/>
      <c r="L6" s="15"/>
      <c r="M6" s="16"/>
      <c r="N6" s="67"/>
      <c r="O6" s="85" t="s">
        <v>49</v>
      </c>
      <c r="P6" s="85">
        <f>VLOOKUP(C8, R6:T10,3, )</f>
        <v>1840</v>
      </c>
      <c r="Q6" s="1"/>
      <c r="R6" s="73" t="s">
        <v>76</v>
      </c>
      <c r="S6" s="74">
        <v>1022</v>
      </c>
      <c r="T6" s="74">
        <v>1969</v>
      </c>
    </row>
    <row r="7" spans="2:20" hidden="1" x14ac:dyDescent="0.35">
      <c r="B7" s="69" t="s">
        <v>24</v>
      </c>
      <c r="C7" s="46" t="s">
        <v>21</v>
      </c>
      <c r="D7" s="94"/>
      <c r="E7" s="15" t="s">
        <v>38</v>
      </c>
      <c r="F7" s="15"/>
      <c r="G7" s="15"/>
      <c r="H7" s="15"/>
      <c r="I7" s="15"/>
      <c r="J7" s="15"/>
      <c r="K7" s="15"/>
      <c r="L7" s="15"/>
      <c r="M7" s="16"/>
      <c r="N7" s="67"/>
      <c r="O7" s="85" t="s">
        <v>48</v>
      </c>
      <c r="P7" s="85">
        <v>33000</v>
      </c>
      <c r="R7" s="60" t="s">
        <v>77</v>
      </c>
      <c r="S7" s="72">
        <v>976</v>
      </c>
      <c r="T7" s="72">
        <v>1840</v>
      </c>
    </row>
    <row r="8" spans="2:20" hidden="1" x14ac:dyDescent="0.35">
      <c r="B8" s="69" t="s">
        <v>60</v>
      </c>
      <c r="C8" s="62" t="s">
        <v>77</v>
      </c>
      <c r="D8" s="46"/>
      <c r="E8" s="15"/>
      <c r="F8" s="15"/>
      <c r="G8" s="15"/>
      <c r="H8" s="15"/>
      <c r="I8" s="15"/>
      <c r="J8" s="15"/>
      <c r="K8" s="15"/>
      <c r="L8" s="15"/>
      <c r="M8" s="16"/>
      <c r="N8" s="67"/>
      <c r="O8" s="85" t="s">
        <v>50</v>
      </c>
      <c r="P8" s="85">
        <f>D9</f>
        <v>13.3</v>
      </c>
      <c r="R8" s="60" t="s">
        <v>75</v>
      </c>
      <c r="S8" s="72">
        <v>836</v>
      </c>
      <c r="T8" s="72">
        <v>1754</v>
      </c>
    </row>
    <row r="9" spans="2:20" hidden="1" x14ac:dyDescent="0.35">
      <c r="B9" s="69" t="s">
        <v>25</v>
      </c>
      <c r="C9" s="15" t="s">
        <v>27</v>
      </c>
      <c r="D9" s="89">
        <v>13.3</v>
      </c>
      <c r="E9" s="15" t="s">
        <v>53</v>
      </c>
      <c r="F9" s="15"/>
      <c r="G9" s="15"/>
      <c r="H9" s="15"/>
      <c r="I9" s="15"/>
      <c r="J9" s="15"/>
      <c r="K9" s="15"/>
      <c r="L9" s="15"/>
      <c r="M9" s="16"/>
      <c r="N9" s="67"/>
      <c r="O9" s="85" t="s">
        <v>51</v>
      </c>
      <c r="P9" s="85">
        <v>1</v>
      </c>
      <c r="R9" s="60" t="s">
        <v>74</v>
      </c>
      <c r="S9" s="72">
        <v>645</v>
      </c>
      <c r="T9" s="72">
        <v>1266</v>
      </c>
    </row>
    <row r="10" spans="2:20" hidden="1" x14ac:dyDescent="0.35">
      <c r="B10" s="69" t="s">
        <v>26</v>
      </c>
      <c r="C10" s="15" t="s">
        <v>27</v>
      </c>
      <c r="D10" s="89">
        <v>20.5</v>
      </c>
      <c r="E10" s="15" t="s">
        <v>38</v>
      </c>
      <c r="F10" s="15"/>
      <c r="G10" s="15"/>
      <c r="H10" s="15"/>
      <c r="I10" s="15"/>
      <c r="J10" s="15"/>
      <c r="K10" s="15"/>
      <c r="L10" s="15"/>
      <c r="M10" s="16"/>
      <c r="N10" s="67"/>
      <c r="O10" s="85" t="s">
        <v>64</v>
      </c>
      <c r="P10" s="85">
        <v>10000</v>
      </c>
      <c r="R10" s="60" t="s">
        <v>73</v>
      </c>
      <c r="S10" s="72">
        <v>656</v>
      </c>
      <c r="T10" s="72">
        <v>1288</v>
      </c>
    </row>
    <row r="11" spans="2:20" hidden="1" x14ac:dyDescent="0.35">
      <c r="B11" s="69"/>
      <c r="C11" s="46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67"/>
      <c r="O11" s="85" t="s">
        <v>52</v>
      </c>
      <c r="P11" s="86">
        <f>((P6*P7*(1/(P8*P9*(1-0))))/1000)*P10/1000000</f>
        <v>45.654135338345853</v>
      </c>
    </row>
    <row r="12" spans="2:20" ht="14.25" hidden="1" customHeight="1" thickBot="1" x14ac:dyDescent="0.4">
      <c r="B12" s="179" t="s">
        <v>30</v>
      </c>
      <c r="C12" s="180" t="s">
        <v>31</v>
      </c>
      <c r="D12" s="180"/>
      <c r="E12" s="181" t="s">
        <v>32</v>
      </c>
      <c r="F12" s="173" t="s">
        <v>33</v>
      </c>
      <c r="G12" s="173"/>
      <c r="H12" s="181" t="s">
        <v>12</v>
      </c>
      <c r="I12" s="183" t="s">
        <v>34</v>
      </c>
      <c r="J12" s="183"/>
      <c r="K12" s="172" t="s">
        <v>12</v>
      </c>
      <c r="L12" s="173" t="s">
        <v>35</v>
      </c>
      <c r="M12" s="174"/>
      <c r="N12" s="67"/>
      <c r="O12" s="85" t="s">
        <v>78</v>
      </c>
      <c r="P12" s="85">
        <f>VLOOKUP(C8,R6:T10,2)</f>
        <v>976</v>
      </c>
      <c r="R12" s="75" t="s">
        <v>69</v>
      </c>
      <c r="S12" s="75" t="s">
        <v>70</v>
      </c>
    </row>
    <row r="13" spans="2:20" ht="14.25" hidden="1" customHeight="1" x14ac:dyDescent="0.35">
      <c r="B13" s="179"/>
      <c r="C13" s="180"/>
      <c r="D13" s="180"/>
      <c r="E13" s="181"/>
      <c r="F13" s="173"/>
      <c r="G13" s="173"/>
      <c r="H13" s="181"/>
      <c r="I13" s="183"/>
      <c r="J13" s="183"/>
      <c r="K13" s="172"/>
      <c r="L13" s="173"/>
      <c r="M13" s="174"/>
      <c r="N13" s="67"/>
      <c r="O13" s="85" t="s">
        <v>29</v>
      </c>
      <c r="P13" s="87">
        <f>D6</f>
        <v>0.8</v>
      </c>
      <c r="Q13" s="1"/>
      <c r="R13" s="73" t="s">
        <v>76</v>
      </c>
      <c r="S13" s="74">
        <v>512</v>
      </c>
    </row>
    <row r="14" spans="2:20" hidden="1" x14ac:dyDescent="0.35">
      <c r="B14" s="69"/>
      <c r="C14" s="46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67"/>
      <c r="O14" s="85" t="s">
        <v>54</v>
      </c>
      <c r="P14" s="85">
        <f>((P12*P7*1/P13)/1000000)</f>
        <v>40.26</v>
      </c>
      <c r="R14" s="60" t="s">
        <v>77</v>
      </c>
      <c r="S14" s="72">
        <v>570</v>
      </c>
    </row>
    <row r="15" spans="2:20" hidden="1" x14ac:dyDescent="0.35">
      <c r="B15" s="69" t="s">
        <v>30</v>
      </c>
      <c r="C15" s="81">
        <f>P14</f>
        <v>40.26</v>
      </c>
      <c r="D15" s="49" t="s">
        <v>36</v>
      </c>
      <c r="E15" s="46" t="s">
        <v>32</v>
      </c>
      <c r="F15" s="50">
        <f>P19</f>
        <v>0</v>
      </c>
      <c r="G15" s="50" t="s">
        <v>36</v>
      </c>
      <c r="H15" s="46" t="s">
        <v>12</v>
      </c>
      <c r="I15" s="83">
        <f>P11</f>
        <v>45.654135338345853</v>
      </c>
      <c r="J15" s="50" t="s">
        <v>36</v>
      </c>
      <c r="K15" s="46" t="s">
        <v>12</v>
      </c>
      <c r="L15" s="83">
        <f>P20</f>
        <v>9.6760975609756095</v>
      </c>
      <c r="M15" s="51" t="s">
        <v>36</v>
      </c>
      <c r="N15" s="67"/>
      <c r="O15" s="85" t="s">
        <v>55</v>
      </c>
      <c r="P15" s="85">
        <v>34800</v>
      </c>
      <c r="R15" s="60" t="s">
        <v>75</v>
      </c>
      <c r="S15" s="72">
        <v>730</v>
      </c>
    </row>
    <row r="16" spans="2:20" ht="15" hidden="1" thickBot="1" x14ac:dyDescent="0.4">
      <c r="B16" s="69"/>
      <c r="C16" s="46"/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67"/>
      <c r="O16" s="85" t="s">
        <v>79</v>
      </c>
      <c r="P16" s="88">
        <f>VLOOKUP(C8,R13:S17,2)</f>
        <v>570</v>
      </c>
      <c r="R16" s="60" t="s">
        <v>74</v>
      </c>
      <c r="S16" s="72">
        <v>1035</v>
      </c>
    </row>
    <row r="17" spans="2:19" ht="15" hidden="1" thickBot="1" x14ac:dyDescent="0.4">
      <c r="B17" s="80" t="s">
        <v>30</v>
      </c>
      <c r="C17" s="84">
        <f>C15+F15-I15-L15</f>
        <v>-15.070232899321464</v>
      </c>
      <c r="D17" s="56" t="s">
        <v>36</v>
      </c>
      <c r="E17" s="15"/>
      <c r="F17" s="15"/>
      <c r="G17" s="15"/>
      <c r="H17" s="15"/>
      <c r="I17" s="15"/>
      <c r="J17" s="15"/>
      <c r="K17" s="15"/>
      <c r="L17" s="15"/>
      <c r="M17" s="16"/>
      <c r="N17" s="67"/>
      <c r="O17" s="85" t="s">
        <v>56</v>
      </c>
      <c r="P17" s="85">
        <f>D7</f>
        <v>0</v>
      </c>
      <c r="R17" s="60" t="s">
        <v>73</v>
      </c>
      <c r="S17" s="72">
        <v>903</v>
      </c>
    </row>
    <row r="18" spans="2:19" hidden="1" x14ac:dyDescent="0.35">
      <c r="B18" s="69"/>
      <c r="C18" s="46"/>
      <c r="D18" s="15"/>
      <c r="E18" s="15"/>
      <c r="F18" s="15"/>
      <c r="G18" s="15"/>
      <c r="H18" s="15"/>
      <c r="I18" s="15"/>
      <c r="J18" s="15"/>
      <c r="K18" s="15"/>
      <c r="L18" s="15"/>
      <c r="M18" s="16"/>
      <c r="N18" s="67"/>
      <c r="O18" s="85" t="s">
        <v>57</v>
      </c>
      <c r="P18" s="85">
        <f>D10</f>
        <v>20.5</v>
      </c>
    </row>
    <row r="19" spans="2:19" ht="14.25" hidden="1" customHeight="1" x14ac:dyDescent="0.35">
      <c r="B19" s="70" t="s">
        <v>37</v>
      </c>
      <c r="C19" s="175" t="s">
        <v>43</v>
      </c>
      <c r="D19" s="175"/>
      <c r="E19" s="175"/>
      <c r="F19" s="175"/>
      <c r="G19" s="175"/>
      <c r="H19" s="175"/>
      <c r="I19" s="175"/>
      <c r="J19" s="175"/>
      <c r="K19" s="175"/>
      <c r="L19" s="175"/>
      <c r="M19" s="176"/>
      <c r="N19" s="67"/>
      <c r="O19" s="85" t="s">
        <v>58</v>
      </c>
      <c r="P19" s="85">
        <f>IF(P17=0,0, (P16*P15*(1/P17)/1000)*P10/1000000)</f>
        <v>0</v>
      </c>
    </row>
    <row r="20" spans="2:19" hidden="1" x14ac:dyDescent="0.35">
      <c r="B20" s="71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8"/>
      <c r="N20" s="68"/>
      <c r="O20" s="85" t="s">
        <v>59</v>
      </c>
      <c r="P20" s="86">
        <f>(P16*P15*(1/P18)/1000)*P10/1000000</f>
        <v>9.6760975609756095</v>
      </c>
    </row>
    <row r="21" spans="2:19" hidden="1" x14ac:dyDescent="0.35"/>
    <row r="23" spans="2:19" ht="18.5" x14ac:dyDescent="0.45">
      <c r="B23" s="79" t="s">
        <v>83</v>
      </c>
      <c r="C23" s="52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65"/>
      <c r="O23" s="65"/>
      <c r="P23" s="66"/>
    </row>
    <row r="24" spans="2:19" x14ac:dyDescent="0.35">
      <c r="B24" s="69"/>
      <c r="C24" s="46"/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67"/>
      <c r="O24" s="169" t="s">
        <v>61</v>
      </c>
      <c r="P24" s="170"/>
    </row>
    <row r="25" spans="2:19" x14ac:dyDescent="0.35">
      <c r="B25" s="69" t="s">
        <v>23</v>
      </c>
      <c r="C25" s="46" t="s">
        <v>28</v>
      </c>
      <c r="D25" s="111">
        <f>D6</f>
        <v>0.8</v>
      </c>
      <c r="E25" s="15" t="s">
        <v>29</v>
      </c>
      <c r="F25" s="15"/>
      <c r="G25" s="15"/>
      <c r="H25" s="15"/>
      <c r="I25" s="15"/>
      <c r="J25" s="15"/>
      <c r="K25" s="15"/>
      <c r="L25" s="15"/>
      <c r="M25" s="16"/>
      <c r="N25" s="67"/>
      <c r="O25" s="85" t="s">
        <v>49</v>
      </c>
      <c r="P25" s="85">
        <f>VLOOKUP(C27, R6:T10,3, )</f>
        <v>1840</v>
      </c>
    </row>
    <row r="26" spans="2:19" x14ac:dyDescent="0.35">
      <c r="B26" s="69" t="s">
        <v>24</v>
      </c>
      <c r="C26" s="46" t="s">
        <v>22</v>
      </c>
      <c r="D26" s="100">
        <v>13</v>
      </c>
      <c r="E26" s="15" t="s">
        <v>38</v>
      </c>
      <c r="F26" s="15"/>
      <c r="G26" s="15"/>
      <c r="H26" s="15"/>
      <c r="I26" s="15"/>
      <c r="J26" s="15"/>
      <c r="K26" s="15"/>
      <c r="L26" s="15"/>
      <c r="M26" s="16"/>
      <c r="N26" s="67"/>
      <c r="O26" s="85" t="s">
        <v>48</v>
      </c>
      <c r="P26" s="85">
        <v>33000</v>
      </c>
    </row>
    <row r="27" spans="2:19" x14ac:dyDescent="0.35">
      <c r="B27" s="69" t="s">
        <v>60</v>
      </c>
      <c r="C27" s="112" t="s">
        <v>77</v>
      </c>
      <c r="D27" s="92"/>
      <c r="E27" s="15"/>
      <c r="F27" s="15"/>
      <c r="G27" s="15"/>
      <c r="H27" s="15"/>
      <c r="I27" s="15"/>
      <c r="J27" s="15"/>
      <c r="K27" s="15"/>
      <c r="L27" s="15"/>
      <c r="M27" s="16"/>
      <c r="N27" s="67"/>
      <c r="O27" s="85" t="s">
        <v>50</v>
      </c>
      <c r="P27" s="85">
        <f>D28</f>
        <v>13.3</v>
      </c>
    </row>
    <row r="28" spans="2:19" x14ac:dyDescent="0.35">
      <c r="B28" s="69" t="s">
        <v>25</v>
      </c>
      <c r="C28" s="15" t="s">
        <v>27</v>
      </c>
      <c r="D28" s="100">
        <f>D9</f>
        <v>13.3</v>
      </c>
      <c r="E28" s="15" t="s">
        <v>53</v>
      </c>
      <c r="F28" s="15"/>
      <c r="G28" s="15"/>
      <c r="H28" s="15"/>
      <c r="I28" s="15"/>
      <c r="J28" s="15"/>
      <c r="K28" s="15"/>
      <c r="L28" s="15"/>
      <c r="M28" s="16"/>
      <c r="N28" s="67"/>
      <c r="O28" s="85" t="s">
        <v>51</v>
      </c>
      <c r="P28" s="85">
        <v>1</v>
      </c>
    </row>
    <row r="29" spans="2:19" x14ac:dyDescent="0.35">
      <c r="B29" s="69" t="s">
        <v>26</v>
      </c>
      <c r="C29" s="15" t="s">
        <v>27</v>
      </c>
      <c r="D29" s="100">
        <f>D10</f>
        <v>20.5</v>
      </c>
      <c r="E29" s="11" t="s">
        <v>38</v>
      </c>
      <c r="F29" s="15"/>
      <c r="G29" s="15"/>
      <c r="H29" s="15"/>
      <c r="I29" s="15"/>
      <c r="J29" s="15"/>
      <c r="K29" s="15"/>
      <c r="L29" s="15"/>
      <c r="M29" s="16"/>
      <c r="N29" s="67"/>
      <c r="O29" s="85" t="s">
        <v>64</v>
      </c>
      <c r="P29" s="85">
        <v>10000</v>
      </c>
    </row>
    <row r="30" spans="2:19" x14ac:dyDescent="0.35">
      <c r="B30" s="69"/>
      <c r="C30" s="46"/>
      <c r="D30" s="15"/>
      <c r="E30" s="15"/>
      <c r="F30" s="15"/>
      <c r="G30" s="15"/>
      <c r="H30" s="15"/>
      <c r="I30" s="15"/>
      <c r="J30" s="15"/>
      <c r="K30" s="15"/>
      <c r="L30" s="15"/>
      <c r="M30" s="16"/>
      <c r="N30" s="67"/>
      <c r="O30" s="85" t="s">
        <v>52</v>
      </c>
      <c r="P30" s="86">
        <f>((P25*P26*(1/(P27*P28*(1-0))))/1000)*P29/1000000</f>
        <v>45.654135338345853</v>
      </c>
    </row>
    <row r="31" spans="2:19" x14ac:dyDescent="0.35">
      <c r="B31" s="179" t="s">
        <v>30</v>
      </c>
      <c r="C31" s="184" t="s">
        <v>31</v>
      </c>
      <c r="D31" s="184"/>
      <c r="E31" s="181" t="s">
        <v>32</v>
      </c>
      <c r="F31" s="173" t="s">
        <v>33</v>
      </c>
      <c r="G31" s="173"/>
      <c r="H31" s="181" t="s">
        <v>12</v>
      </c>
      <c r="I31" s="183" t="s">
        <v>34</v>
      </c>
      <c r="J31" s="183"/>
      <c r="K31" s="172" t="s">
        <v>12</v>
      </c>
      <c r="L31" s="173" t="s">
        <v>35</v>
      </c>
      <c r="M31" s="174"/>
      <c r="N31" s="67"/>
      <c r="O31" s="85" t="s">
        <v>78</v>
      </c>
      <c r="P31" s="85">
        <f>VLOOKUP(C27,R6:T10,2)</f>
        <v>976</v>
      </c>
    </row>
    <row r="32" spans="2:19" x14ac:dyDescent="0.35">
      <c r="B32" s="179"/>
      <c r="C32" s="184"/>
      <c r="D32" s="184"/>
      <c r="E32" s="181"/>
      <c r="F32" s="173"/>
      <c r="G32" s="173"/>
      <c r="H32" s="181"/>
      <c r="I32" s="183"/>
      <c r="J32" s="183"/>
      <c r="K32" s="172"/>
      <c r="L32" s="173"/>
      <c r="M32" s="174"/>
      <c r="N32" s="67"/>
      <c r="O32" s="85" t="s">
        <v>29</v>
      </c>
      <c r="P32" s="87">
        <f>D25</f>
        <v>0.8</v>
      </c>
    </row>
    <row r="33" spans="2:16" x14ac:dyDescent="0.35">
      <c r="B33" s="69"/>
      <c r="C33" s="197" t="s">
        <v>91</v>
      </c>
      <c r="D33" s="197"/>
      <c r="E33" s="46" t="s">
        <v>32</v>
      </c>
      <c r="F33" s="197" t="s">
        <v>92</v>
      </c>
      <c r="G33" s="197"/>
      <c r="H33" s="46" t="s">
        <v>12</v>
      </c>
      <c r="I33" s="197" t="s">
        <v>93</v>
      </c>
      <c r="J33" s="197"/>
      <c r="K33" s="92" t="s">
        <v>12</v>
      </c>
      <c r="L33" s="197" t="s">
        <v>94</v>
      </c>
      <c r="M33" s="198"/>
      <c r="N33" s="67"/>
      <c r="O33" s="85" t="s">
        <v>54</v>
      </c>
      <c r="P33" s="85">
        <f>((P31*P26*1/P32)/1000000)</f>
        <v>40.26</v>
      </c>
    </row>
    <row r="34" spans="2:16" x14ac:dyDescent="0.35">
      <c r="B34" s="69" t="s">
        <v>109</v>
      </c>
      <c r="C34" s="58">
        <f>P33*1.01</f>
        <v>40.662599999999998</v>
      </c>
      <c r="D34" s="50" t="s">
        <v>36</v>
      </c>
      <c r="E34" s="46" t="s">
        <v>32</v>
      </c>
      <c r="F34" s="83">
        <f>P39</f>
        <v>15.258461538461541</v>
      </c>
      <c r="G34" s="50" t="s">
        <v>36</v>
      </c>
      <c r="H34" s="46" t="s">
        <v>12</v>
      </c>
      <c r="I34" s="83">
        <f>P30</f>
        <v>45.654135338345853</v>
      </c>
      <c r="J34" s="50" t="s">
        <v>36</v>
      </c>
      <c r="K34" s="46" t="s">
        <v>12</v>
      </c>
      <c r="L34" s="83">
        <f>P40</f>
        <v>9.6760975609756095</v>
      </c>
      <c r="M34" s="51" t="s">
        <v>36</v>
      </c>
      <c r="N34" s="67"/>
      <c r="O34" s="85" t="s">
        <v>55</v>
      </c>
      <c r="P34" s="85">
        <v>34800</v>
      </c>
    </row>
    <row r="35" spans="2:16" x14ac:dyDescent="0.35">
      <c r="B35" s="69" t="s">
        <v>110</v>
      </c>
      <c r="C35" s="133">
        <f>P33</f>
        <v>40.26</v>
      </c>
      <c r="D35" s="131" t="s">
        <v>36</v>
      </c>
      <c r="E35" s="46" t="s">
        <v>32</v>
      </c>
      <c r="F35" s="134">
        <f>P39/(P29/3412)</f>
        <v>5.2061870769230776</v>
      </c>
      <c r="G35" s="131" t="s">
        <v>36</v>
      </c>
      <c r="H35" s="92" t="s">
        <v>12</v>
      </c>
      <c r="I35" s="135">
        <f>P30/(P29/3412)</f>
        <v>15.577190977443605</v>
      </c>
      <c r="J35" s="131" t="s">
        <v>36</v>
      </c>
      <c r="K35" s="15"/>
      <c r="L35" s="135">
        <f>P40/(P29/3412)</f>
        <v>3.3014844878048777</v>
      </c>
      <c r="M35" s="132" t="s">
        <v>36</v>
      </c>
      <c r="N35" s="67"/>
      <c r="O35" s="85" t="s">
        <v>79</v>
      </c>
      <c r="P35" s="88">
        <f>VLOOKUP(C27,R13:S17,2)</f>
        <v>570</v>
      </c>
    </row>
    <row r="36" spans="2:16" ht="15" thickBot="1" x14ac:dyDescent="0.4">
      <c r="B36" s="136"/>
      <c r="C36" s="99"/>
      <c r="D36" s="11"/>
      <c r="E36" s="92"/>
      <c r="F36" s="137"/>
      <c r="G36" s="11"/>
      <c r="H36" s="92"/>
      <c r="I36" s="138"/>
      <c r="J36" s="11"/>
      <c r="K36" s="11"/>
      <c r="L36" s="138"/>
      <c r="M36" s="139"/>
      <c r="N36" s="67"/>
      <c r="O36" s="85"/>
      <c r="P36" s="88"/>
    </row>
    <row r="37" spans="2:16" ht="15" thickBot="1" x14ac:dyDescent="0.4">
      <c r="B37" s="80" t="s">
        <v>30</v>
      </c>
      <c r="C37" s="140">
        <f>C34+F34-I34-L34</f>
        <v>0.59082863914007433</v>
      </c>
      <c r="D37" s="107" t="s">
        <v>36</v>
      </c>
      <c r="E37" s="15"/>
      <c r="F37" s="15"/>
      <c r="G37" s="15"/>
      <c r="H37" s="15"/>
      <c r="I37" s="15"/>
      <c r="J37" s="15"/>
      <c r="K37" s="15"/>
      <c r="L37" s="15"/>
      <c r="M37" s="16"/>
      <c r="N37" s="67"/>
      <c r="O37" s="85" t="s">
        <v>56</v>
      </c>
      <c r="P37" s="85">
        <f>D26</f>
        <v>13</v>
      </c>
    </row>
    <row r="38" spans="2:16" ht="15" thickBot="1" x14ac:dyDescent="0.4">
      <c r="B38" s="77" t="s">
        <v>39</v>
      </c>
      <c r="C38" s="141">
        <f>C35+F35-I35-L35</f>
        <v>26.587511611674593</v>
      </c>
      <c r="D38" s="110" t="s">
        <v>36</v>
      </c>
      <c r="E38" s="15"/>
      <c r="F38" s="15"/>
      <c r="G38" s="15"/>
      <c r="H38" s="15"/>
      <c r="I38" s="15"/>
      <c r="J38" s="15"/>
      <c r="K38" s="15"/>
      <c r="L38" s="15"/>
      <c r="M38" s="16"/>
      <c r="N38" s="67"/>
      <c r="O38" s="85" t="s">
        <v>57</v>
      </c>
      <c r="P38" s="85">
        <f>D29</f>
        <v>20.5</v>
      </c>
    </row>
    <row r="39" spans="2:16" x14ac:dyDescent="0.35">
      <c r="B39" s="189" t="s">
        <v>37</v>
      </c>
      <c r="C39" s="199" t="s">
        <v>84</v>
      </c>
      <c r="D39" s="200"/>
      <c r="E39" s="201"/>
      <c r="F39" s="201"/>
      <c r="G39" s="201"/>
      <c r="H39" s="201"/>
      <c r="I39" s="201"/>
      <c r="J39" s="201"/>
      <c r="K39" s="201"/>
      <c r="L39" s="201"/>
      <c r="M39" s="202"/>
      <c r="N39" s="67"/>
      <c r="O39" s="85" t="s">
        <v>58</v>
      </c>
      <c r="P39" s="85">
        <f>(P35*P34*(1/P37)/1000)*P29/1000000</f>
        <v>15.258461538461541</v>
      </c>
    </row>
    <row r="40" spans="2:16" x14ac:dyDescent="0.35">
      <c r="B40" s="190"/>
      <c r="C40" s="203"/>
      <c r="D40" s="204"/>
      <c r="E40" s="204"/>
      <c r="F40" s="204"/>
      <c r="G40" s="204"/>
      <c r="H40" s="204"/>
      <c r="I40" s="204"/>
      <c r="J40" s="204"/>
      <c r="K40" s="204"/>
      <c r="L40" s="204"/>
      <c r="M40" s="205"/>
      <c r="N40" s="68"/>
      <c r="O40" s="85" t="s">
        <v>59</v>
      </c>
      <c r="P40" s="86">
        <f>(P35*P34*(1/P38)/1000)*P29/1000000</f>
        <v>9.6760975609756095</v>
      </c>
    </row>
    <row r="41" spans="2:16" ht="15" thickBot="1" x14ac:dyDescent="0.4">
      <c r="C41" s="46"/>
      <c r="D41" s="15"/>
      <c r="E41" s="15"/>
      <c r="F41" s="15"/>
      <c r="G41" s="15"/>
      <c r="H41" s="15"/>
      <c r="I41" s="15"/>
      <c r="J41" s="15"/>
      <c r="K41" s="15"/>
      <c r="L41" s="15"/>
      <c r="M41" s="15"/>
      <c r="O41" s="85" t="s">
        <v>102</v>
      </c>
      <c r="P41" s="118">
        <f>((F34-L34)+('Baseline ASHP consumption'!I34 -'ASHP-Counting Savings'!I34))*10*29.3</f>
        <v>9955.2636741948772</v>
      </c>
    </row>
    <row r="42" spans="2:16" ht="15" thickBot="1" x14ac:dyDescent="0.4">
      <c r="B42" s="191" t="s">
        <v>98</v>
      </c>
      <c r="C42" s="192"/>
      <c r="D42" s="193"/>
      <c r="E42" s="191" t="s">
        <v>100</v>
      </c>
      <c r="F42" s="193"/>
      <c r="O42" s="85" t="s">
        <v>112</v>
      </c>
      <c r="P42" s="60">
        <f>((F35-L35)+('Baseline ASHP consumption'!I35 -'ASHP-Counting Savings'!I35))*10*29.3</f>
        <v>3396.7359656352919</v>
      </c>
    </row>
    <row r="43" spans="2:16" ht="17" customHeight="1" x14ac:dyDescent="0.35">
      <c r="B43" s="123" t="s">
        <v>85</v>
      </c>
      <c r="C43" s="124" t="s">
        <v>89</v>
      </c>
      <c r="D43" s="125" t="s">
        <v>90</v>
      </c>
      <c r="E43" s="124" t="s">
        <v>89</v>
      </c>
      <c r="F43" s="125" t="s">
        <v>90</v>
      </c>
    </row>
    <row r="44" spans="2:16" ht="37.4" customHeight="1" x14ac:dyDescent="0.35">
      <c r="B44" s="121" t="s">
        <v>86</v>
      </c>
      <c r="C44" s="114" t="s">
        <v>99</v>
      </c>
      <c r="D44" s="116" t="s">
        <v>12</v>
      </c>
      <c r="E44" s="113" t="s">
        <v>106</v>
      </c>
      <c r="F44" s="116">
        <v>0</v>
      </c>
    </row>
    <row r="45" spans="2:16" ht="52.25" customHeight="1" x14ac:dyDescent="0.35">
      <c r="B45" s="121" t="s">
        <v>87</v>
      </c>
      <c r="C45" s="113" t="s">
        <v>105</v>
      </c>
      <c r="D45" s="126" t="s">
        <v>101</v>
      </c>
      <c r="E45" s="43" t="s">
        <v>103</v>
      </c>
      <c r="F45" s="120" t="s">
        <v>108</v>
      </c>
      <c r="H45" s="142" t="s">
        <v>119</v>
      </c>
      <c r="O45" s="44"/>
      <c r="P45" s="44"/>
    </row>
    <row r="46" spans="2:16" s="44" customFormat="1" ht="32.65" customHeight="1" thickBot="1" x14ac:dyDescent="0.4">
      <c r="B46" s="122" t="s">
        <v>88</v>
      </c>
      <c r="C46" s="115" t="s">
        <v>12</v>
      </c>
      <c r="D46" s="117" t="s">
        <v>99</v>
      </c>
      <c r="E46" s="115">
        <v>0</v>
      </c>
      <c r="F46" s="117" t="s">
        <v>107</v>
      </c>
      <c r="O46"/>
      <c r="P46"/>
    </row>
    <row r="48" spans="2:16" ht="15" thickBot="1" x14ac:dyDescent="0.4"/>
    <row r="49" spans="2:11" ht="15" thickBot="1" x14ac:dyDescent="0.4">
      <c r="B49" s="194" t="s">
        <v>120</v>
      </c>
      <c r="C49" s="195"/>
      <c r="D49" s="196"/>
      <c r="E49" s="194" t="s">
        <v>100</v>
      </c>
      <c r="F49" s="196"/>
    </row>
    <row r="50" spans="2:11" x14ac:dyDescent="0.35">
      <c r="B50" s="123" t="s">
        <v>85</v>
      </c>
      <c r="C50" s="124" t="s">
        <v>89</v>
      </c>
      <c r="D50" s="125" t="s">
        <v>90</v>
      </c>
      <c r="E50" s="124" t="s">
        <v>89</v>
      </c>
      <c r="F50" s="125" t="s">
        <v>90</v>
      </c>
    </row>
    <row r="51" spans="2:11" ht="44.9" customHeight="1" x14ac:dyDescent="0.35">
      <c r="B51" s="121" t="s">
        <v>86</v>
      </c>
      <c r="C51" s="114" t="s">
        <v>104</v>
      </c>
      <c r="D51" s="116">
        <v>0</v>
      </c>
      <c r="E51" s="113" t="s">
        <v>111</v>
      </c>
      <c r="F51" s="116">
        <v>0</v>
      </c>
      <c r="G51" s="143" t="s">
        <v>121</v>
      </c>
      <c r="K51" s="15"/>
    </row>
    <row r="52" spans="2:11" ht="44.9" customHeight="1" x14ac:dyDescent="0.35">
      <c r="B52" s="121" t="s">
        <v>87</v>
      </c>
      <c r="C52" s="113" t="s">
        <v>105</v>
      </c>
      <c r="D52" s="130" t="s">
        <v>115</v>
      </c>
      <c r="E52" s="43" t="s">
        <v>116</v>
      </c>
      <c r="F52" s="119" t="s">
        <v>118</v>
      </c>
    </row>
    <row r="53" spans="2:11" ht="44.9" customHeight="1" thickBot="1" x14ac:dyDescent="0.4">
      <c r="B53" s="127" t="s">
        <v>88</v>
      </c>
      <c r="C53" s="128">
        <v>0</v>
      </c>
      <c r="D53" s="129" t="s">
        <v>104</v>
      </c>
      <c r="E53" s="115">
        <v>0</v>
      </c>
      <c r="F53" s="117" t="s">
        <v>117</v>
      </c>
      <c r="G53" t="s">
        <v>122</v>
      </c>
    </row>
  </sheetData>
  <mergeCells count="32">
    <mergeCell ref="D2:E2"/>
    <mergeCell ref="F2:G2"/>
    <mergeCell ref="R4:T4"/>
    <mergeCell ref="O24:P24"/>
    <mergeCell ref="B31:B32"/>
    <mergeCell ref="C31:D32"/>
    <mergeCell ref="E31:E32"/>
    <mergeCell ref="F31:G32"/>
    <mergeCell ref="H31:H32"/>
    <mergeCell ref="I31:J32"/>
    <mergeCell ref="C12:D13"/>
    <mergeCell ref="B12:B13"/>
    <mergeCell ref="O5:P5"/>
    <mergeCell ref="C33:D33"/>
    <mergeCell ref="F33:G33"/>
    <mergeCell ref="I33:J33"/>
    <mergeCell ref="L33:M33"/>
    <mergeCell ref="I12:J13"/>
    <mergeCell ref="H12:H13"/>
    <mergeCell ref="F12:G13"/>
    <mergeCell ref="E12:E13"/>
    <mergeCell ref="K31:K32"/>
    <mergeCell ref="L31:M32"/>
    <mergeCell ref="K12:K13"/>
    <mergeCell ref="L12:M13"/>
    <mergeCell ref="C19:M20"/>
    <mergeCell ref="B39:B40"/>
    <mergeCell ref="B42:D42"/>
    <mergeCell ref="B49:D49"/>
    <mergeCell ref="E42:F42"/>
    <mergeCell ref="E49:F49"/>
    <mergeCell ref="C39:M40"/>
  </mergeCells>
  <dataValidations disablePrompts="1" count="1">
    <dataValidation type="list" allowBlank="1" showInputMessage="1" showErrorMessage="1" sqref="C8" xr:uid="{00000000-0002-0000-0200-000000000000}">
      <formula1>$R$6:$R$10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48"/>
  <sheetViews>
    <sheetView workbookViewId="0">
      <selection activeCell="E48" sqref="E48"/>
    </sheetView>
  </sheetViews>
  <sheetFormatPr defaultRowHeight="14.5" x14ac:dyDescent="0.35"/>
  <cols>
    <col min="1" max="1" width="1.453125" customWidth="1"/>
    <col min="2" max="2" width="24.453125" style="32" customWidth="1"/>
    <col min="3" max="3" width="14.7265625" style="3" customWidth="1"/>
    <col min="7" max="7" width="11.08984375" customWidth="1"/>
    <col min="9" max="9" width="9.26953125" customWidth="1"/>
    <col min="10" max="10" width="10.6328125" customWidth="1"/>
    <col min="14" max="14" width="2.453125" customWidth="1"/>
    <col min="15" max="15" width="27.7265625" customWidth="1"/>
    <col min="16" max="16" width="10.453125" customWidth="1"/>
    <col min="17" max="17" width="2.90625" customWidth="1"/>
    <col min="18" max="18" width="16" customWidth="1"/>
    <col min="19" max="19" width="19.90625" customWidth="1"/>
    <col min="20" max="20" width="18.7265625" customWidth="1"/>
    <col min="21" max="21" width="18.26953125" customWidth="1"/>
  </cols>
  <sheetData>
    <row r="1" spans="2:20" ht="11.5" customHeight="1" thickBot="1" x14ac:dyDescent="0.4"/>
    <row r="2" spans="2:20" ht="15" thickBot="1" x14ac:dyDescent="0.4">
      <c r="C2" s="3" t="s">
        <v>46</v>
      </c>
      <c r="D2" s="185" t="s">
        <v>45</v>
      </c>
      <c r="E2" s="186"/>
      <c r="F2" s="187" t="s">
        <v>47</v>
      </c>
      <c r="G2" s="188"/>
      <c r="I2" s="145"/>
    </row>
    <row r="3" spans="2:20" ht="7.5" customHeight="1" x14ac:dyDescent="0.35"/>
    <row r="4" spans="2:20" ht="18.5" hidden="1" x14ac:dyDescent="0.45">
      <c r="B4" s="79" t="s">
        <v>42</v>
      </c>
      <c r="C4" s="52"/>
      <c r="D4" s="53"/>
      <c r="E4" s="53"/>
      <c r="F4" s="53"/>
      <c r="G4" s="53"/>
      <c r="H4" s="53"/>
      <c r="I4" s="53"/>
      <c r="J4" s="53"/>
      <c r="K4" s="53"/>
      <c r="L4" s="53"/>
      <c r="M4" s="54"/>
      <c r="N4" s="65"/>
      <c r="O4" s="65"/>
      <c r="P4" s="66"/>
      <c r="R4" s="171" t="s">
        <v>66</v>
      </c>
      <c r="S4" s="171"/>
      <c r="T4" s="171"/>
    </row>
    <row r="5" spans="2:20" ht="29.9" hidden="1" customHeight="1" thickBot="1" x14ac:dyDescent="0.4">
      <c r="B5" s="69"/>
      <c r="C5" s="46"/>
      <c r="D5" s="15"/>
      <c r="E5" s="15"/>
      <c r="F5" s="15"/>
      <c r="G5" s="15"/>
      <c r="H5" s="15"/>
      <c r="I5" s="15"/>
      <c r="J5" s="15"/>
      <c r="K5" s="15"/>
      <c r="L5" s="15"/>
      <c r="M5" s="16"/>
      <c r="N5" s="67"/>
      <c r="O5" s="169" t="s">
        <v>61</v>
      </c>
      <c r="P5" s="170"/>
      <c r="R5" s="75" t="s">
        <v>65</v>
      </c>
      <c r="S5" s="75" t="s">
        <v>67</v>
      </c>
      <c r="T5" s="75" t="s">
        <v>68</v>
      </c>
    </row>
    <row r="6" spans="2:20" hidden="1" x14ac:dyDescent="0.35">
      <c r="B6" s="69" t="s">
        <v>23</v>
      </c>
      <c r="C6" s="46" t="s">
        <v>28</v>
      </c>
      <c r="D6" s="95">
        <v>0.8</v>
      </c>
      <c r="E6" s="15" t="s">
        <v>29</v>
      </c>
      <c r="F6" s="15"/>
      <c r="G6" s="15"/>
      <c r="H6" s="15"/>
      <c r="I6" s="15"/>
      <c r="J6" s="15"/>
      <c r="K6" s="15"/>
      <c r="L6" s="15"/>
      <c r="M6" s="16"/>
      <c r="N6" s="67"/>
      <c r="O6" s="85" t="s">
        <v>49</v>
      </c>
      <c r="P6" s="85">
        <f>VLOOKUP(C8, R6:T10,3, )</f>
        <v>1840</v>
      </c>
      <c r="Q6" s="1"/>
      <c r="R6" s="73" t="s">
        <v>76</v>
      </c>
      <c r="S6" s="74">
        <v>1022</v>
      </c>
      <c r="T6" s="74">
        <v>1969</v>
      </c>
    </row>
    <row r="7" spans="2:20" hidden="1" x14ac:dyDescent="0.35">
      <c r="B7" s="69" t="s">
        <v>24</v>
      </c>
      <c r="C7" s="46" t="s">
        <v>21</v>
      </c>
      <c r="D7" s="94"/>
      <c r="E7" s="15" t="s">
        <v>38</v>
      </c>
      <c r="F7" s="15"/>
      <c r="G7" s="15"/>
      <c r="H7" s="15"/>
      <c r="I7" s="15"/>
      <c r="J7" s="15"/>
      <c r="K7" s="15"/>
      <c r="L7" s="15"/>
      <c r="M7" s="16"/>
      <c r="N7" s="67"/>
      <c r="O7" s="85" t="s">
        <v>48</v>
      </c>
      <c r="P7" s="85">
        <v>33000</v>
      </c>
      <c r="R7" s="60" t="s">
        <v>77</v>
      </c>
      <c r="S7" s="72">
        <v>976</v>
      </c>
      <c r="T7" s="72">
        <v>1840</v>
      </c>
    </row>
    <row r="8" spans="2:20" hidden="1" x14ac:dyDescent="0.35">
      <c r="B8" s="69" t="s">
        <v>60</v>
      </c>
      <c r="C8" s="62" t="s">
        <v>77</v>
      </c>
      <c r="D8" s="46"/>
      <c r="E8" s="15"/>
      <c r="F8" s="15"/>
      <c r="G8" s="15"/>
      <c r="H8" s="15"/>
      <c r="I8" s="15"/>
      <c r="J8" s="15"/>
      <c r="K8" s="15"/>
      <c r="L8" s="15"/>
      <c r="M8" s="16"/>
      <c r="N8" s="67"/>
      <c r="O8" s="85" t="s">
        <v>50</v>
      </c>
      <c r="P8" s="85">
        <f>D9</f>
        <v>13.3</v>
      </c>
      <c r="R8" s="60" t="s">
        <v>75</v>
      </c>
      <c r="S8" s="72">
        <v>836</v>
      </c>
      <c r="T8" s="72">
        <v>1754</v>
      </c>
    </row>
    <row r="9" spans="2:20" hidden="1" x14ac:dyDescent="0.35">
      <c r="B9" s="69" t="s">
        <v>25</v>
      </c>
      <c r="C9" s="15" t="s">
        <v>27</v>
      </c>
      <c r="D9" s="89">
        <v>13.3</v>
      </c>
      <c r="E9" s="15" t="s">
        <v>53</v>
      </c>
      <c r="F9" s="15"/>
      <c r="G9" s="15"/>
      <c r="H9" s="15"/>
      <c r="I9" s="15"/>
      <c r="J9" s="15"/>
      <c r="K9" s="15"/>
      <c r="L9" s="15"/>
      <c r="M9" s="16"/>
      <c r="N9" s="67"/>
      <c r="O9" s="85" t="s">
        <v>51</v>
      </c>
      <c r="P9" s="85">
        <v>1</v>
      </c>
      <c r="R9" s="60" t="s">
        <v>74</v>
      </c>
      <c r="S9" s="72">
        <v>645</v>
      </c>
      <c r="T9" s="72">
        <v>1266</v>
      </c>
    </row>
    <row r="10" spans="2:20" hidden="1" x14ac:dyDescent="0.35">
      <c r="B10" s="69" t="s">
        <v>26</v>
      </c>
      <c r="C10" s="15" t="s">
        <v>27</v>
      </c>
      <c r="D10" s="89">
        <v>20.5</v>
      </c>
      <c r="E10" s="15" t="s">
        <v>38</v>
      </c>
      <c r="F10" s="15"/>
      <c r="G10" s="15"/>
      <c r="H10" s="15"/>
      <c r="I10" s="15"/>
      <c r="J10" s="15"/>
      <c r="K10" s="15"/>
      <c r="L10" s="15"/>
      <c r="M10" s="16"/>
      <c r="N10" s="67"/>
      <c r="O10" s="85" t="s">
        <v>64</v>
      </c>
      <c r="P10" s="85">
        <v>10000</v>
      </c>
      <c r="R10" s="60" t="s">
        <v>73</v>
      </c>
      <c r="S10" s="72">
        <v>656</v>
      </c>
      <c r="T10" s="72">
        <v>1288</v>
      </c>
    </row>
    <row r="11" spans="2:20" hidden="1" x14ac:dyDescent="0.35">
      <c r="B11" s="69"/>
      <c r="C11" s="46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67"/>
      <c r="O11" s="85" t="s">
        <v>52</v>
      </c>
      <c r="P11" s="86">
        <f>((P6*P7*(1/(P8*P9*(1-0))))/1000)*P10/1000000</f>
        <v>45.654135338345853</v>
      </c>
    </row>
    <row r="12" spans="2:20" ht="14.25" hidden="1" customHeight="1" thickBot="1" x14ac:dyDescent="0.4">
      <c r="B12" s="179" t="s">
        <v>30</v>
      </c>
      <c r="C12" s="180" t="s">
        <v>31</v>
      </c>
      <c r="D12" s="180"/>
      <c r="E12" s="181" t="s">
        <v>32</v>
      </c>
      <c r="F12" s="173" t="s">
        <v>33</v>
      </c>
      <c r="G12" s="173"/>
      <c r="H12" s="181" t="s">
        <v>12</v>
      </c>
      <c r="I12" s="183" t="s">
        <v>34</v>
      </c>
      <c r="J12" s="183"/>
      <c r="K12" s="172" t="s">
        <v>12</v>
      </c>
      <c r="L12" s="173" t="s">
        <v>35</v>
      </c>
      <c r="M12" s="174"/>
      <c r="N12" s="67"/>
      <c r="O12" s="85" t="s">
        <v>78</v>
      </c>
      <c r="P12" s="85">
        <f>VLOOKUP(C8,R6:T10,2)</f>
        <v>976</v>
      </c>
      <c r="R12" s="75" t="s">
        <v>69</v>
      </c>
      <c r="S12" s="75" t="s">
        <v>70</v>
      </c>
    </row>
    <row r="13" spans="2:20" ht="14.25" hidden="1" customHeight="1" x14ac:dyDescent="0.35">
      <c r="B13" s="179"/>
      <c r="C13" s="180"/>
      <c r="D13" s="180"/>
      <c r="E13" s="181"/>
      <c r="F13" s="173"/>
      <c r="G13" s="173"/>
      <c r="H13" s="181"/>
      <c r="I13" s="183"/>
      <c r="J13" s="183"/>
      <c r="K13" s="172"/>
      <c r="L13" s="173"/>
      <c r="M13" s="174"/>
      <c r="N13" s="67"/>
      <c r="O13" s="85" t="s">
        <v>29</v>
      </c>
      <c r="P13" s="87">
        <f>D6</f>
        <v>0.8</v>
      </c>
      <c r="Q13" s="1"/>
      <c r="R13" s="73" t="s">
        <v>76</v>
      </c>
      <c r="S13" s="74">
        <v>512</v>
      </c>
    </row>
    <row r="14" spans="2:20" hidden="1" x14ac:dyDescent="0.35">
      <c r="B14" s="69"/>
      <c r="C14" s="46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67"/>
      <c r="O14" s="85" t="s">
        <v>54</v>
      </c>
      <c r="P14" s="85">
        <f>((P12*P7*1/P13)/1000000)</f>
        <v>40.26</v>
      </c>
      <c r="R14" s="60" t="s">
        <v>77</v>
      </c>
      <c r="S14" s="72">
        <v>570</v>
      </c>
    </row>
    <row r="15" spans="2:20" hidden="1" x14ac:dyDescent="0.35">
      <c r="B15" s="69" t="s">
        <v>30</v>
      </c>
      <c r="C15" s="81">
        <f>P14</f>
        <v>40.26</v>
      </c>
      <c r="D15" s="49" t="s">
        <v>36</v>
      </c>
      <c r="E15" s="46" t="s">
        <v>32</v>
      </c>
      <c r="F15" s="50">
        <f>P19</f>
        <v>0</v>
      </c>
      <c r="G15" s="50" t="s">
        <v>36</v>
      </c>
      <c r="H15" s="46" t="s">
        <v>12</v>
      </c>
      <c r="I15" s="83">
        <f>P11</f>
        <v>45.654135338345853</v>
      </c>
      <c r="J15" s="50" t="s">
        <v>36</v>
      </c>
      <c r="K15" s="46" t="s">
        <v>12</v>
      </c>
      <c r="L15" s="83">
        <f>P20</f>
        <v>9.6760975609756095</v>
      </c>
      <c r="M15" s="51" t="s">
        <v>36</v>
      </c>
      <c r="N15" s="67"/>
      <c r="O15" s="85" t="s">
        <v>55</v>
      </c>
      <c r="P15" s="85">
        <v>34800</v>
      </c>
      <c r="R15" s="60" t="s">
        <v>75</v>
      </c>
      <c r="S15" s="72">
        <v>730</v>
      </c>
    </row>
    <row r="16" spans="2:20" hidden="1" x14ac:dyDescent="0.35">
      <c r="B16" s="69"/>
      <c r="C16" s="46"/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67"/>
      <c r="O16" s="85" t="s">
        <v>79</v>
      </c>
      <c r="P16" s="88">
        <f>VLOOKUP(C8,R13:S17,2)</f>
        <v>570</v>
      </c>
      <c r="R16" s="60" t="s">
        <v>74</v>
      </c>
      <c r="S16" s="72">
        <v>1035</v>
      </c>
    </row>
    <row r="17" spans="2:21" ht="15" hidden="1" thickBot="1" x14ac:dyDescent="0.4">
      <c r="B17" s="80" t="s">
        <v>30</v>
      </c>
      <c r="C17" s="84">
        <f>C15+F15-I15-L15</f>
        <v>-15.070232899321464</v>
      </c>
      <c r="D17" s="56" t="s">
        <v>36</v>
      </c>
      <c r="E17" s="15"/>
      <c r="F17" s="15"/>
      <c r="G17" s="15"/>
      <c r="H17" s="15"/>
      <c r="I17" s="15"/>
      <c r="J17" s="15"/>
      <c r="K17" s="15"/>
      <c r="L17" s="15"/>
      <c r="M17" s="16"/>
      <c r="N17" s="67"/>
      <c r="O17" s="85" t="s">
        <v>56</v>
      </c>
      <c r="P17" s="85">
        <f>D7</f>
        <v>0</v>
      </c>
      <c r="R17" s="60" t="s">
        <v>73</v>
      </c>
      <c r="S17" s="72">
        <v>903</v>
      </c>
    </row>
    <row r="18" spans="2:21" hidden="1" x14ac:dyDescent="0.35">
      <c r="B18" s="69"/>
      <c r="C18" s="46"/>
      <c r="D18" s="15"/>
      <c r="E18" s="15"/>
      <c r="F18" s="15"/>
      <c r="G18" s="15"/>
      <c r="H18" s="15"/>
      <c r="I18" s="15"/>
      <c r="J18" s="15"/>
      <c r="K18" s="15"/>
      <c r="L18" s="15"/>
      <c r="M18" s="16"/>
      <c r="N18" s="67"/>
      <c r="O18" s="85" t="s">
        <v>57</v>
      </c>
      <c r="P18" s="85">
        <f>D10</f>
        <v>20.5</v>
      </c>
    </row>
    <row r="19" spans="2:21" ht="14.25" hidden="1" customHeight="1" x14ac:dyDescent="0.35">
      <c r="B19" s="70" t="s">
        <v>37</v>
      </c>
      <c r="C19" s="175" t="s">
        <v>43</v>
      </c>
      <c r="D19" s="175"/>
      <c r="E19" s="175"/>
      <c r="F19" s="175"/>
      <c r="G19" s="175"/>
      <c r="H19" s="175"/>
      <c r="I19" s="175"/>
      <c r="J19" s="175"/>
      <c r="K19" s="175"/>
      <c r="L19" s="175"/>
      <c r="M19" s="176"/>
      <c r="N19" s="67"/>
      <c r="O19" s="85" t="s">
        <v>58</v>
      </c>
      <c r="P19" s="85">
        <f>IF(P17=0,0, (P16*P15*(1/P17)/1000)*P10/1000000)</f>
        <v>0</v>
      </c>
    </row>
    <row r="20" spans="2:21" hidden="1" x14ac:dyDescent="0.35">
      <c r="B20" s="71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8"/>
      <c r="N20" s="68"/>
      <c r="O20" s="85" t="s">
        <v>59</v>
      </c>
      <c r="P20" s="86">
        <f>(P16*P15*(1/P18)/1000)*P10/1000000</f>
        <v>9.6760975609756095</v>
      </c>
    </row>
    <row r="21" spans="2:21" hidden="1" x14ac:dyDescent="0.35"/>
    <row r="23" spans="2:21" ht="18.5" x14ac:dyDescent="0.45">
      <c r="B23" s="79" t="s">
        <v>83</v>
      </c>
      <c r="C23" s="52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65"/>
      <c r="O23" s="65"/>
      <c r="P23" s="66"/>
    </row>
    <row r="24" spans="2:21" x14ac:dyDescent="0.35">
      <c r="B24" s="69"/>
      <c r="C24" s="46"/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67"/>
      <c r="O24" s="169" t="s">
        <v>61</v>
      </c>
      <c r="P24" s="170"/>
      <c r="U24" t="s">
        <v>90</v>
      </c>
    </row>
    <row r="25" spans="2:21" x14ac:dyDescent="0.35">
      <c r="B25" s="69" t="s">
        <v>23</v>
      </c>
      <c r="C25" s="92" t="s">
        <v>28</v>
      </c>
      <c r="D25" s="90">
        <f>D6</f>
        <v>0.8</v>
      </c>
      <c r="E25" s="15" t="s">
        <v>29</v>
      </c>
      <c r="F25" s="15"/>
      <c r="G25" s="15"/>
      <c r="H25" s="15"/>
      <c r="I25" s="15"/>
      <c r="J25" s="15"/>
      <c r="K25" s="15"/>
      <c r="L25" s="15"/>
      <c r="M25" s="16"/>
      <c r="N25" s="67"/>
      <c r="O25" s="85" t="s">
        <v>49</v>
      </c>
      <c r="P25" s="85">
        <f>VLOOKUP(C27, R6:T10,3, )</f>
        <v>1840</v>
      </c>
    </row>
    <row r="26" spans="2:21" x14ac:dyDescent="0.35">
      <c r="B26" s="69" t="s">
        <v>24</v>
      </c>
      <c r="C26" s="92" t="s">
        <v>22</v>
      </c>
      <c r="D26" s="91">
        <v>13</v>
      </c>
      <c r="E26" s="15" t="s">
        <v>38</v>
      </c>
      <c r="F26" s="15"/>
      <c r="G26" s="15"/>
      <c r="H26" s="15"/>
      <c r="I26" s="15"/>
      <c r="J26" s="15"/>
      <c r="K26" s="15"/>
      <c r="L26" s="15"/>
      <c r="M26" s="16"/>
      <c r="N26" s="67"/>
      <c r="O26" s="85" t="s">
        <v>48</v>
      </c>
      <c r="P26" s="85">
        <v>33000</v>
      </c>
    </row>
    <row r="27" spans="2:21" x14ac:dyDescent="0.35">
      <c r="B27" s="69" t="s">
        <v>60</v>
      </c>
      <c r="C27" s="103" t="s">
        <v>77</v>
      </c>
      <c r="D27" s="92"/>
      <c r="E27" s="15"/>
      <c r="F27" s="15"/>
      <c r="G27" s="15"/>
      <c r="H27" s="15"/>
      <c r="I27" s="15"/>
      <c r="J27" s="15"/>
      <c r="K27" s="15"/>
      <c r="L27" s="15"/>
      <c r="M27" s="16"/>
      <c r="N27" s="67"/>
      <c r="O27" s="85" t="s">
        <v>50</v>
      </c>
      <c r="P27" s="85">
        <f>D28</f>
        <v>8.1999999999999993</v>
      </c>
    </row>
    <row r="28" spans="2:21" x14ac:dyDescent="0.35">
      <c r="B28" s="69" t="s">
        <v>25</v>
      </c>
      <c r="C28" s="11" t="s">
        <v>27</v>
      </c>
      <c r="D28" s="91">
        <v>8.1999999999999993</v>
      </c>
      <c r="E28" s="15" t="s">
        <v>53</v>
      </c>
      <c r="F28" s="144" t="s">
        <v>123</v>
      </c>
      <c r="G28" s="15"/>
      <c r="H28" s="15"/>
      <c r="I28" s="15"/>
      <c r="J28" s="15"/>
      <c r="K28" s="15"/>
      <c r="L28" s="15"/>
      <c r="M28" s="16"/>
      <c r="N28" s="67"/>
      <c r="O28" s="85" t="s">
        <v>51</v>
      </c>
      <c r="P28" s="85">
        <v>1</v>
      </c>
    </row>
    <row r="29" spans="2:21" x14ac:dyDescent="0.35">
      <c r="B29" s="69" t="s">
        <v>26</v>
      </c>
      <c r="C29" s="11" t="s">
        <v>27</v>
      </c>
      <c r="D29" s="91">
        <v>14</v>
      </c>
      <c r="E29" s="11" t="s">
        <v>38</v>
      </c>
      <c r="F29" s="144" t="s">
        <v>124</v>
      </c>
      <c r="G29" s="15"/>
      <c r="H29" s="15"/>
      <c r="I29" s="15"/>
      <c r="J29" s="15"/>
      <c r="K29" s="15"/>
      <c r="L29" s="15"/>
      <c r="M29" s="16"/>
      <c r="N29" s="67"/>
      <c r="O29" s="85" t="s">
        <v>64</v>
      </c>
      <c r="P29" s="85">
        <v>10000</v>
      </c>
    </row>
    <row r="30" spans="2:21" x14ac:dyDescent="0.35">
      <c r="B30" s="69"/>
      <c r="C30" s="46"/>
      <c r="D30" s="15"/>
      <c r="E30" s="15"/>
      <c r="F30" s="15"/>
      <c r="G30" s="15"/>
      <c r="H30" s="15"/>
      <c r="I30" s="15"/>
      <c r="J30" s="15"/>
      <c r="K30" s="15"/>
      <c r="L30" s="15"/>
      <c r="M30" s="16"/>
      <c r="N30" s="67"/>
      <c r="O30" s="85" t="s">
        <v>52</v>
      </c>
      <c r="P30" s="86">
        <f>((P25*P26*(1/(P27*P28*(1-0))))/1000)*P29/1000000</f>
        <v>74.048780487804891</v>
      </c>
    </row>
    <row r="31" spans="2:21" x14ac:dyDescent="0.35">
      <c r="B31" s="179" t="s">
        <v>30</v>
      </c>
      <c r="C31" s="180" t="s">
        <v>31</v>
      </c>
      <c r="D31" s="180"/>
      <c r="E31" s="181" t="s">
        <v>32</v>
      </c>
      <c r="F31" s="173" t="s">
        <v>33</v>
      </c>
      <c r="G31" s="173"/>
      <c r="H31" s="181" t="s">
        <v>12</v>
      </c>
      <c r="I31" s="183" t="s">
        <v>34</v>
      </c>
      <c r="J31" s="183"/>
      <c r="K31" s="172" t="s">
        <v>12</v>
      </c>
      <c r="L31" s="173" t="s">
        <v>35</v>
      </c>
      <c r="M31" s="174"/>
      <c r="N31" s="67"/>
      <c r="O31" s="85" t="s">
        <v>78</v>
      </c>
      <c r="P31" s="85">
        <f>VLOOKUP(C27,R6:T10,2)</f>
        <v>976</v>
      </c>
    </row>
    <row r="32" spans="2:21" x14ac:dyDescent="0.35">
      <c r="B32" s="179"/>
      <c r="C32" s="180"/>
      <c r="D32" s="180"/>
      <c r="E32" s="181"/>
      <c r="F32" s="173"/>
      <c r="G32" s="173"/>
      <c r="H32" s="181"/>
      <c r="I32" s="183"/>
      <c r="J32" s="183"/>
      <c r="K32" s="172"/>
      <c r="L32" s="173"/>
      <c r="M32" s="174"/>
      <c r="N32" s="67"/>
      <c r="O32" s="85" t="s">
        <v>29</v>
      </c>
      <c r="P32" s="87">
        <f>D25</f>
        <v>0.8</v>
      </c>
    </row>
    <row r="33" spans="2:16" x14ac:dyDescent="0.35">
      <c r="B33" s="69"/>
      <c r="C33" s="57" t="s">
        <v>91</v>
      </c>
      <c r="D33" s="46"/>
      <c r="E33" s="46" t="s">
        <v>32</v>
      </c>
      <c r="F33" s="57" t="s">
        <v>92</v>
      </c>
      <c r="G33" s="46"/>
      <c r="H33" s="46" t="s">
        <v>12</v>
      </c>
      <c r="I33" s="57" t="s">
        <v>93</v>
      </c>
      <c r="J33" s="46"/>
      <c r="K33" s="92" t="s">
        <v>12</v>
      </c>
      <c r="L33" s="57" t="s">
        <v>94</v>
      </c>
      <c r="M33" s="16"/>
      <c r="N33" s="67"/>
      <c r="O33" s="85" t="s">
        <v>54</v>
      </c>
      <c r="P33" s="85">
        <f>((P31*P26*1/P32)/1000000)</f>
        <v>40.26</v>
      </c>
    </row>
    <row r="34" spans="2:16" x14ac:dyDescent="0.35">
      <c r="B34" s="69" t="s">
        <v>113</v>
      </c>
      <c r="C34" s="81">
        <f>P33</f>
        <v>40.26</v>
      </c>
      <c r="D34" s="49" t="s">
        <v>36</v>
      </c>
      <c r="E34" s="46" t="s">
        <v>32</v>
      </c>
      <c r="F34" s="83">
        <f>P38</f>
        <v>15.258461538461541</v>
      </c>
      <c r="G34" s="50" t="s">
        <v>36</v>
      </c>
      <c r="H34" s="46" t="s">
        <v>12</v>
      </c>
      <c r="I34" s="83">
        <f>P30</f>
        <v>74.048780487804891</v>
      </c>
      <c r="J34" s="50" t="s">
        <v>36</v>
      </c>
      <c r="K34" s="46" t="s">
        <v>12</v>
      </c>
      <c r="L34" s="83">
        <f>P39</f>
        <v>14.168571428571427</v>
      </c>
      <c r="M34" s="51" t="s">
        <v>36</v>
      </c>
      <c r="N34" s="67"/>
      <c r="O34" s="85" t="s">
        <v>55</v>
      </c>
      <c r="P34" s="85">
        <v>34800</v>
      </c>
    </row>
    <row r="35" spans="2:16" ht="15" thickBot="1" x14ac:dyDescent="0.4">
      <c r="B35" s="69" t="s">
        <v>114</v>
      </c>
      <c r="C35" s="46">
        <v>40.299999999999997</v>
      </c>
      <c r="D35" s="15"/>
      <c r="E35" s="15"/>
      <c r="F35" s="15">
        <f>F34/(P29/3412)</f>
        <v>5.2061870769230776</v>
      </c>
      <c r="G35" s="15"/>
      <c r="H35" s="15"/>
      <c r="I35" s="15">
        <f>I34/(P29/3412)</f>
        <v>25.265443902439028</v>
      </c>
      <c r="J35" s="15"/>
      <c r="K35" s="15"/>
      <c r="L35" s="15">
        <f>L34/(P29/3412)</f>
        <v>4.8343165714285705</v>
      </c>
      <c r="M35" s="16"/>
      <c r="N35" s="67"/>
      <c r="O35" s="85" t="s">
        <v>79</v>
      </c>
      <c r="P35" s="88">
        <f>VLOOKUP(C27,R13:S17,2)</f>
        <v>570</v>
      </c>
    </row>
    <row r="36" spans="2:16" ht="15" thickBot="1" x14ac:dyDescent="0.4">
      <c r="B36" s="77" t="s">
        <v>30</v>
      </c>
      <c r="C36" s="76">
        <f>C34+F34-I34-L34</f>
        <v>-32.698890377914779</v>
      </c>
      <c r="D36" s="56" t="s">
        <v>36</v>
      </c>
      <c r="E36" s="15"/>
      <c r="F36" s="15"/>
      <c r="G36" s="15"/>
      <c r="H36" s="15"/>
      <c r="I36" s="15"/>
      <c r="J36" s="15"/>
      <c r="K36" s="15"/>
      <c r="L36" s="15"/>
      <c r="M36" s="16"/>
      <c r="N36" s="67"/>
      <c r="O36" s="85" t="s">
        <v>56</v>
      </c>
      <c r="P36" s="85">
        <f>D26</f>
        <v>13</v>
      </c>
    </row>
    <row r="37" spans="2:16" x14ac:dyDescent="0.35">
      <c r="B37" s="69"/>
      <c r="C37" s="46"/>
      <c r="D37" s="15"/>
      <c r="E37" s="15"/>
      <c r="F37" s="15"/>
      <c r="G37" s="15"/>
      <c r="H37" s="15"/>
      <c r="I37" s="15"/>
      <c r="J37" s="15"/>
      <c r="K37" s="15"/>
      <c r="L37" s="15"/>
      <c r="M37" s="16"/>
      <c r="N37" s="67"/>
      <c r="O37" s="85" t="s">
        <v>57</v>
      </c>
      <c r="P37" s="85">
        <f>D29</f>
        <v>14</v>
      </c>
    </row>
    <row r="38" spans="2:16" x14ac:dyDescent="0.35">
      <c r="B38" s="70" t="s">
        <v>37</v>
      </c>
      <c r="C38" s="206"/>
      <c r="D38" s="207"/>
      <c r="E38" s="207"/>
      <c r="F38" s="207"/>
      <c r="G38" s="207"/>
      <c r="H38" s="207"/>
      <c r="I38" s="207"/>
      <c r="J38" s="207"/>
      <c r="K38" s="207"/>
      <c r="L38" s="207"/>
      <c r="M38" s="208"/>
      <c r="N38" s="67"/>
      <c r="O38" s="85" t="s">
        <v>58</v>
      </c>
      <c r="P38" s="85">
        <f>(P35*P34*(1/P36)/1000)*P29/1000000</f>
        <v>15.258461538461541</v>
      </c>
    </row>
    <row r="39" spans="2:16" x14ac:dyDescent="0.35">
      <c r="B39" s="69"/>
      <c r="C39" s="209"/>
      <c r="D39" s="177"/>
      <c r="E39" s="177"/>
      <c r="F39" s="177"/>
      <c r="G39" s="177"/>
      <c r="H39" s="177"/>
      <c r="I39" s="177"/>
      <c r="J39" s="177"/>
      <c r="K39" s="177"/>
      <c r="L39" s="177"/>
      <c r="M39" s="178"/>
      <c r="N39" s="68"/>
      <c r="O39" s="85" t="s">
        <v>59</v>
      </c>
      <c r="P39" s="86">
        <f>(P35*P34*(1/P37)/1000)*P29/1000000</f>
        <v>14.168571428571427</v>
      </c>
    </row>
    <row r="40" spans="2:16" x14ac:dyDescent="0.35">
      <c r="C40" s="46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2:16" x14ac:dyDescent="0.35">
      <c r="B41" s="102"/>
    </row>
    <row r="48" spans="2:16" x14ac:dyDescent="0.35">
      <c r="K48" s="15"/>
    </row>
  </sheetData>
  <mergeCells count="23">
    <mergeCell ref="D2:E2"/>
    <mergeCell ref="F2:G2"/>
    <mergeCell ref="R4:T4"/>
    <mergeCell ref="O5:P5"/>
    <mergeCell ref="B12:B13"/>
    <mergeCell ref="C12:D13"/>
    <mergeCell ref="E12:E13"/>
    <mergeCell ref="F12:G13"/>
    <mergeCell ref="H12:H13"/>
    <mergeCell ref="I12:J13"/>
    <mergeCell ref="O24:P24"/>
    <mergeCell ref="B31:B32"/>
    <mergeCell ref="C31:D32"/>
    <mergeCell ref="E31:E32"/>
    <mergeCell ref="F31:G32"/>
    <mergeCell ref="H31:H32"/>
    <mergeCell ref="I31:J32"/>
    <mergeCell ref="K31:K32"/>
    <mergeCell ref="L31:M32"/>
    <mergeCell ref="C38:M39"/>
    <mergeCell ref="K12:K13"/>
    <mergeCell ref="L12:M13"/>
    <mergeCell ref="C19:M20"/>
  </mergeCells>
  <dataValidations count="1">
    <dataValidation type="list" allowBlank="1" showInputMessage="1" showErrorMessage="1" sqref="C8 C27" xr:uid="{00000000-0002-0000-0300-000000000000}">
      <formula1>$R$6:$R$10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Backgorund</vt:lpstr>
      <vt:lpstr>ASHP-Screenig Criteria</vt:lpstr>
      <vt:lpstr>ASHP-Counting Savings</vt:lpstr>
      <vt:lpstr>Baseline ASHP consumption</vt:lpstr>
    </vt:vector>
  </TitlesOfParts>
  <Company>WEC Energy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Manjarres, Thomas D</dc:creator>
  <cp:lastModifiedBy>CJ Consulting</cp:lastModifiedBy>
  <dcterms:created xsi:type="dcterms:W3CDTF">2021-05-07T18:49:31Z</dcterms:created>
  <dcterms:modified xsi:type="dcterms:W3CDTF">2021-05-10T14:27:55Z</dcterms:modified>
</cp:coreProperties>
</file>