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TRM/Version 9.0/"/>
    </mc:Choice>
  </mc:AlternateContent>
  <xr:revisionPtr revIDLastSave="0" documentId="8_{A243525A-2F77-4BC6-AB8B-F47D2CD6CF7A}" xr6:coauthVersionLast="45" xr6:coauthVersionMax="45" xr10:uidLastSave="{00000000-0000-0000-0000-000000000000}"/>
  <bookViews>
    <workbookView xWindow="28680" yWindow="-120" windowWidth="29040" windowHeight="15840" firstSheet="1" activeTab="1" xr2:uid="{A0D65985-79EC-4872-87A7-58640C2AEFC6}"/>
  </bookViews>
  <sheets>
    <sheet name="Cool - Norm w TO" sheetId="1" state="hidden" r:id="rId1"/>
    <sheet name="Heat w 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E5" i="2" s="1"/>
  <c r="E4" i="2" l="1"/>
  <c r="E6" i="2"/>
  <c r="D4" i="2" l="1"/>
  <c r="B12" i="1" l="1"/>
  <c r="B10" i="1"/>
  <c r="F9" i="1"/>
  <c r="F6" i="1"/>
  <c r="H3" i="1" l="1"/>
  <c r="C8" i="1" l="1"/>
  <c r="I3" i="1"/>
  <c r="C6" i="1" s="1"/>
  <c r="C5" i="2"/>
  <c r="D5" i="2" s="1"/>
  <c r="F5" i="2" s="1"/>
  <c r="C6" i="2"/>
  <c r="D6" i="2" s="1"/>
  <c r="F6" i="2" s="1"/>
  <c r="C4" i="2"/>
  <c r="F4" i="2" s="1"/>
  <c r="C9" i="1" l="1"/>
  <c r="C10" i="1" l="1"/>
  <c r="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tc={8858A0CB-8DD7-41F9-B60F-5DA75BBEE91F}</author>
  </authors>
  <commentList>
    <comment ref="F5" authorId="0" shapeId="0" xr:uid="{8858A0CB-8DD7-41F9-B60F-5DA75BBEE91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2.66% per ITT; with an opt-in rate of 67%, this is 3.97% per treated device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tc={12FC4F32-31A4-4867-A880-5F33BD2A313D}</author>
  </authors>
  <commentList>
    <comment ref="C11" authorId="0" shapeId="0" xr:uid="{12FC4F32-31A4-4867-A880-5F33BD2A313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2.5% per ITT; with an opt-in rate of 64%, this is 3.91% per treated device</t>
        </r>
      </text>
    </comment>
  </commentList>
</comments>
</file>

<file path=xl/sharedStrings.xml><?xml version="1.0" encoding="utf-8"?>
<sst xmlns="http://schemas.openxmlformats.org/spreadsheetml/2006/main" count="45" uniqueCount="40">
  <si>
    <t>Savings normalized weather</t>
  </si>
  <si>
    <t>ETO (Nest Reported)</t>
  </si>
  <si>
    <t>https://www.energytrust.org/wp-content/uploads/2017/12/Energy-Trust-of-Oregon-Nest-Seasonal-Savers-Pilot-Evaluation-FINAL-wSR.pdf</t>
  </si>
  <si>
    <t>ComEd report</t>
  </si>
  <si>
    <t>https://s3.amazonaws.com/ilsag/ComEd_CY2018_Nest_SS_Cooling_Season_Impact_Evaluation_Report_Draft_2018-03-13.pdf</t>
  </si>
  <si>
    <t>Calculate higher value for demand savings?</t>
  </si>
  <si>
    <t>Cooling savings from SS</t>
  </si>
  <si>
    <t>Starting load</t>
  </si>
  <si>
    <t>After Adv Thermostat</t>
  </si>
  <si>
    <t>Existing Thermostat Type</t>
  </si>
  <si>
    <t xml:space="preserve">Heating_Reduction </t>
  </si>
  <si>
    <t>Manual</t>
  </si>
  <si>
    <t>Programmable</t>
  </si>
  <si>
    <t>Unknown (Blended)</t>
  </si>
  <si>
    <t>Heat load</t>
  </si>
  <si>
    <t>therms</t>
  </si>
  <si>
    <t>Beginning load</t>
  </si>
  <si>
    <t>ETO (Apex evaluated)</t>
  </si>
  <si>
    <t>Starting cooling load</t>
  </si>
  <si>
    <t>ComEd evaluation</t>
  </si>
  <si>
    <t>Thermostat Optimization</t>
  </si>
  <si>
    <t>Subtracting out TO from study</t>
  </si>
  <si>
    <t>% of study had TO</t>
  </si>
  <si>
    <t>Going forward % with TO</t>
  </si>
  <si>
    <t>Current measure (without TO)</t>
  </si>
  <si>
    <t>New Heating_Reduction with TO</t>
  </si>
  <si>
    <t>After Adv Thermostat and TO</t>
  </si>
  <si>
    <t>Heating TO savings</t>
  </si>
  <si>
    <t>Overall</t>
  </si>
  <si>
    <t>% of Participants (Study + Future), Nest</t>
  </si>
  <si>
    <t>% of Participants (Study + Future), ecobee</t>
  </si>
  <si>
    <t>% of Participants (Study + Future), Other</t>
  </si>
  <si>
    <t>Nest participants in study had TO</t>
  </si>
  <si>
    <t xml:space="preserve">ISR </t>
  </si>
  <si>
    <t>(Note these values include ISR)</t>
  </si>
  <si>
    <r>
      <t xml:space="preserve">Future TO Opt in rate for </t>
    </r>
    <r>
      <rPr>
        <i/>
        <sz val="11"/>
        <color theme="1"/>
        <rFont val="Calibri"/>
        <family val="2"/>
        <scheme val="minor"/>
      </rPr>
      <t>Installed</t>
    </r>
    <r>
      <rPr>
        <sz val="11"/>
        <color theme="1"/>
        <rFont val="Calibri"/>
        <family val="2"/>
        <scheme val="minor"/>
      </rPr>
      <t xml:space="preserve"> Thermostats</t>
    </r>
  </si>
  <si>
    <r>
      <t xml:space="preserve">Future TO Opt in rate for </t>
    </r>
    <r>
      <rPr>
        <i/>
        <sz val="11"/>
        <color theme="1"/>
        <rFont val="Calibri"/>
        <family val="2"/>
        <scheme val="minor"/>
      </rPr>
      <t>Purchased</t>
    </r>
    <r>
      <rPr>
        <sz val="11"/>
        <color theme="1"/>
        <rFont val="Calibri"/>
        <family val="2"/>
        <scheme val="minor"/>
      </rPr>
      <t xml:space="preserve"> Thermostats</t>
    </r>
  </si>
  <si>
    <t>Heating Calculation</t>
  </si>
  <si>
    <t>Assumed consistent with Guidehouse cooling study</t>
  </si>
  <si>
    <t>Based on current opt in rates and weighting provided by Nest and ecobee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</si>
</sst>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164" fontId="0" fillId="0" borderId="0" xfId="1" applyNumberFormat="1" applyFont="1"/>
    <xf numFmtId="10" fontId="0" fillId="0" borderId="0" xfId="1" applyNumberFormat="1" applyFont="1"/>
    <xf numFmtId="0" fontId="0" fillId="0" borderId="0" xfId="0" applyAlignment="1">
      <alignment horizontal="center" wrapText="1"/>
    </xf>
    <xf numFmtId="0" fontId="2" fillId="0" borderId="0" xfId="2"/>
    <xf numFmtId="1" fontId="0" fillId="0" borderId="0" xfId="0" applyNumberFormat="1"/>
    <xf numFmtId="0" fontId="0" fillId="0" borderId="0" xfId="0" applyAlignment="1">
      <alignment horizontal="right"/>
    </xf>
    <xf numFmtId="9" fontId="0" fillId="0" borderId="0" xfId="1" applyFont="1" applyAlignment="1">
      <alignment wrapText="1"/>
    </xf>
    <xf numFmtId="10" fontId="0" fillId="2" borderId="0" xfId="0" applyNumberFormat="1" applyFill="1"/>
    <xf numFmtId="164" fontId="0" fillId="0" borderId="0" xfId="0" applyNumberFormat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0" fontId="0" fillId="3" borderId="0" xfId="0" applyFill="1"/>
    <xf numFmtId="9" fontId="0" fillId="3" borderId="0" xfId="0" applyNumberFormat="1" applyFill="1"/>
    <xf numFmtId="0" fontId="0" fillId="3" borderId="0" xfId="0" applyFill="1" applyAlignment="1">
      <alignment horizontal="right"/>
    </xf>
    <xf numFmtId="165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m Dent" id="{56D190AA-E122-4727-8F98-6D2DBD276E8F}" userId="S::sdent@veic.org::0f4a558d-ede9-4047-b8f2-a8ee95cd16e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0-08-10T09:00:10.13" personId="{56D190AA-E122-4727-8F98-6D2DBD276E8F}" id="{8858A0CB-8DD7-41F9-B60F-5DA75BBEE91F}">
    <text>2.66% per ITT; with an opt-in rate of 67%, this is 3.97% per treated device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1" dT="2020-08-10T09:00:14.90" personId="{56D190AA-E122-4727-8F98-6D2DBD276E8F}" id="{12FC4F32-31A4-4867-A880-5F33BD2A313D}">
    <text>2.5% per ITT; with an opt-in rate of 64%, this is 3.91% per treated device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s3.amazonaws.com/ilsag/ComEd_CY2018_Nest_SS_Cooling_Season_Impact_Evaluation_Report_Draft_2018-03-13.pdf" TargetMode="External"/><Relationship Id="rId1" Type="http://schemas.openxmlformats.org/officeDocument/2006/relationships/hyperlink" Target="https://www.energytrust.org/wp-content/uploads/2017/12/Energy-Trust-of-Oregon-Nest-Seasonal-Savers-Pilot-Evaluation-FINAL-wSR.pdf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B779-277E-46AA-9CD7-7E698270FBAA}">
  <dimension ref="B2:T19"/>
  <sheetViews>
    <sheetView zoomScale="120" zoomScaleNormal="120" workbookViewId="0">
      <selection activeCell="B10" sqref="B10:B12"/>
    </sheetView>
  </sheetViews>
  <sheetFormatPr defaultRowHeight="14.5" x14ac:dyDescent="0.35"/>
  <cols>
    <col min="2" max="2" width="33.26953125" customWidth="1"/>
    <col min="3" max="3" width="12" customWidth="1"/>
    <col min="4" max="4" width="15" customWidth="1"/>
    <col min="5" max="5" width="10.7265625" customWidth="1"/>
  </cols>
  <sheetData>
    <row r="2" spans="2:20" x14ac:dyDescent="0.35">
      <c r="H2" s="9" t="s">
        <v>18</v>
      </c>
      <c r="I2">
        <v>1935</v>
      </c>
    </row>
    <row r="3" spans="2:20" ht="43.5" x14ac:dyDescent="0.35">
      <c r="C3" s="6" t="s">
        <v>0</v>
      </c>
      <c r="H3" s="9" t="str">
        <f>"Study cooling load with Adv Therm and "&amp;ROUND(F6*100,0)&amp;"% have SS"</f>
        <v>Study cooling load with Adv Therm and 12% have SS</v>
      </c>
      <c r="I3" s="8">
        <f>I2*(1-C4)</f>
        <v>1892.6234999999999</v>
      </c>
    </row>
    <row r="4" spans="2:20" x14ac:dyDescent="0.35">
      <c r="C4" s="1">
        <v>2.1899999999999999E-2</v>
      </c>
    </row>
    <row r="5" spans="2:20" x14ac:dyDescent="0.35">
      <c r="E5" s="9" t="s">
        <v>20</v>
      </c>
      <c r="F5" s="1">
        <v>3.9699999999999999E-2</v>
      </c>
      <c r="G5" t="s">
        <v>3</v>
      </c>
      <c r="H5" s="7" t="s">
        <v>4</v>
      </c>
    </row>
    <row r="6" spans="2:20" x14ac:dyDescent="0.35">
      <c r="B6" t="s">
        <v>21</v>
      </c>
      <c r="C6" s="5">
        <f>1-(I3/(I2*(F6*(1-F5)+((1-F6)*1))))</f>
        <v>1.7245754923015943E-2</v>
      </c>
      <c r="E6" s="9" t="s">
        <v>22</v>
      </c>
      <c r="F6" s="3">
        <f>H15*I12</f>
        <v>0.1192926847730644</v>
      </c>
    </row>
    <row r="8" spans="2:20" x14ac:dyDescent="0.35">
      <c r="B8" t="s">
        <v>7</v>
      </c>
      <c r="C8" s="8">
        <f>$I$2</f>
        <v>1935</v>
      </c>
    </row>
    <row r="9" spans="2:20" x14ac:dyDescent="0.35">
      <c r="B9" t="s">
        <v>8</v>
      </c>
      <c r="C9" s="8">
        <f>C8*(1-C6)</f>
        <v>1901.6294642239641</v>
      </c>
      <c r="E9" s="9" t="s">
        <v>23</v>
      </c>
      <c r="F9" s="3">
        <f>SUM(I12:I13)</f>
        <v>0.88886365700790204</v>
      </c>
    </row>
    <row r="10" spans="2:20" x14ac:dyDescent="0.35">
      <c r="B10" t="str">
        <f>"After Adv Thermostat and "&amp;ROUND(F9*100,0)&amp;"% TO"</f>
        <v>After Adv Thermostat and 89% TO</v>
      </c>
      <c r="C10" s="8">
        <f>(C9*(1-F9))+(C9*F9*(1-F5))</f>
        <v>1834.5249782261537</v>
      </c>
    </row>
    <row r="11" spans="2:20" x14ac:dyDescent="0.35">
      <c r="H11" s="14" t="s">
        <v>28</v>
      </c>
      <c r="I11" s="14"/>
    </row>
    <row r="12" spans="2:20" x14ac:dyDescent="0.35">
      <c r="B12" t="str">
        <f>"New %savings assuming "&amp;ROUND(F9*100,0)&amp;"% have TO"</f>
        <v>New %savings assuming 89% have TO</v>
      </c>
      <c r="C12" s="11">
        <f>1-C10/C8</f>
        <v>5.192507585211692E-2</v>
      </c>
      <c r="H12" s="16" t="s">
        <v>29</v>
      </c>
      <c r="I12" s="15">
        <v>0.66643957973779</v>
      </c>
    </row>
    <row r="13" spans="2:20" x14ac:dyDescent="0.35">
      <c r="H13" s="16" t="s">
        <v>30</v>
      </c>
      <c r="I13" s="15">
        <v>0.22242407727011199</v>
      </c>
      <c r="Q13" t="s">
        <v>6</v>
      </c>
    </row>
    <row r="14" spans="2:20" x14ac:dyDescent="0.35">
      <c r="H14" s="16" t="s">
        <v>31</v>
      </c>
      <c r="I14" s="15">
        <v>0.11113634299209668</v>
      </c>
      <c r="Q14" s="5">
        <v>2.4E-2</v>
      </c>
      <c r="R14" t="s">
        <v>1</v>
      </c>
      <c r="T14" s="7" t="s">
        <v>2</v>
      </c>
    </row>
    <row r="15" spans="2:20" x14ac:dyDescent="0.35">
      <c r="H15" s="1">
        <v>0.17899999999999999</v>
      </c>
      <c r="I15" t="s">
        <v>32</v>
      </c>
      <c r="Q15" s="5">
        <v>8.0999999999999996E-3</v>
      </c>
      <c r="R15" t="s">
        <v>17</v>
      </c>
    </row>
    <row r="16" spans="2:20" x14ac:dyDescent="0.35">
      <c r="H16" t="s">
        <v>5</v>
      </c>
      <c r="Q16" s="5">
        <v>2.5999999999999999E-2</v>
      </c>
    </row>
    <row r="17" spans="10:17" x14ac:dyDescent="0.35">
      <c r="Q17" s="5"/>
    </row>
    <row r="18" spans="10:17" x14ac:dyDescent="0.35">
      <c r="J18" s="5"/>
    </row>
    <row r="19" spans="10:17" x14ac:dyDescent="0.35">
      <c r="J19" s="5"/>
    </row>
  </sheetData>
  <hyperlinks>
    <hyperlink ref="T14" r:id="rId1" xr:uid="{B5A020C2-5D0B-43CD-8ECE-3E36E340EF41}"/>
    <hyperlink ref="H5" r:id="rId2" xr:uid="{A44536A0-BA90-418B-B2BD-1CBAD46EFB16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39F4-5C3F-4D3A-B021-BC0407F1EAAC}">
  <dimension ref="A1:K14"/>
  <sheetViews>
    <sheetView tabSelected="1" workbookViewId="0">
      <selection activeCell="G12" sqref="G12"/>
    </sheetView>
  </sheetViews>
  <sheetFormatPr defaultRowHeight="14.5" x14ac:dyDescent="0.35"/>
  <cols>
    <col min="2" max="2" width="37.453125" customWidth="1"/>
    <col min="3" max="3" width="10.453125" customWidth="1"/>
    <col min="4" max="4" width="14.54296875" customWidth="1"/>
    <col min="5" max="5" width="14" customWidth="1"/>
    <col min="6" max="6" width="20.81640625" customWidth="1"/>
    <col min="9" max="9" width="21.81640625" bestFit="1" customWidth="1"/>
    <col min="10" max="10" width="10.453125" customWidth="1"/>
  </cols>
  <sheetData>
    <row r="1" spans="1:11" ht="23.5" x14ac:dyDescent="0.55000000000000004">
      <c r="A1" s="20" t="s">
        <v>37</v>
      </c>
      <c r="I1" t="s">
        <v>24</v>
      </c>
    </row>
    <row r="2" spans="1:11" ht="29" x14ac:dyDescent="0.35">
      <c r="I2" s="2" t="s">
        <v>9</v>
      </c>
      <c r="J2" s="6" t="s">
        <v>10</v>
      </c>
      <c r="K2" s="6"/>
    </row>
    <row r="3" spans="1:11" ht="43.5" x14ac:dyDescent="0.35">
      <c r="B3" t="s">
        <v>9</v>
      </c>
      <c r="C3" s="10" t="s">
        <v>16</v>
      </c>
      <c r="D3" s="2" t="s">
        <v>8</v>
      </c>
      <c r="E3" s="2" t="s">
        <v>26</v>
      </c>
      <c r="F3" s="2" t="s">
        <v>25</v>
      </c>
      <c r="I3" s="2" t="s">
        <v>11</v>
      </c>
      <c r="J3" s="12">
        <v>8.7999999999999995E-2</v>
      </c>
      <c r="K3" s="13"/>
    </row>
    <row r="4" spans="1:11" x14ac:dyDescent="0.35">
      <c r="B4" t="s">
        <v>11</v>
      </c>
      <c r="C4">
        <f>$C$10</f>
        <v>955</v>
      </c>
      <c r="D4" s="17">
        <f>C4*(1-J3)</f>
        <v>870.96</v>
      </c>
      <c r="E4" s="17">
        <f>D4*(1-$C$14)+(D4*$C$14)*(1-$C$11)</f>
        <v>857.2289883646082</v>
      </c>
      <c r="F4" s="4">
        <f>1-(E4/C4)</f>
        <v>0.10237802265486051</v>
      </c>
      <c r="I4" s="2" t="s">
        <v>12</v>
      </c>
      <c r="J4" s="12">
        <v>5.6000000000000001E-2</v>
      </c>
      <c r="K4" s="13"/>
    </row>
    <row r="5" spans="1:11" x14ac:dyDescent="0.35">
      <c r="B5" t="s">
        <v>12</v>
      </c>
      <c r="C5">
        <f>$C$10</f>
        <v>955</v>
      </c>
      <c r="D5" s="17">
        <f>C5*(1-J4)</f>
        <v>901.52</v>
      </c>
      <c r="E5" s="17">
        <f t="shared" ref="E5:E6" si="0">D5*(1-$C$14)+(D5*$C$14)*(1-$C$11)</f>
        <v>887.30719848266449</v>
      </c>
      <c r="F5" s="4">
        <f>1-(E5/C5)</f>
        <v>7.0882514677838238E-2</v>
      </c>
      <c r="I5" s="2" t="s">
        <v>13</v>
      </c>
      <c r="J5" s="12">
        <v>7.0000000000000007E-2</v>
      </c>
      <c r="K5" s="13"/>
    </row>
    <row r="6" spans="1:11" x14ac:dyDescent="0.35">
      <c r="B6" t="s">
        <v>13</v>
      </c>
      <c r="C6">
        <f>$C$10</f>
        <v>955</v>
      </c>
      <c r="D6" s="17">
        <f>C6*(1-J5)</f>
        <v>888.15</v>
      </c>
      <c r="E6" s="17">
        <f t="shared" si="0"/>
        <v>874.14798155601488</v>
      </c>
      <c r="F6" s="4">
        <f>1-(E6/C6)</f>
        <v>8.466179941778551E-2</v>
      </c>
      <c r="J6" s="19" t="s">
        <v>34</v>
      </c>
    </row>
    <row r="10" spans="1:11" x14ac:dyDescent="0.35">
      <c r="B10" t="s">
        <v>14</v>
      </c>
      <c r="C10">
        <v>955</v>
      </c>
      <c r="D10" t="s">
        <v>15</v>
      </c>
    </row>
    <row r="11" spans="1:11" x14ac:dyDescent="0.35">
      <c r="B11" t="s">
        <v>27</v>
      </c>
      <c r="C11" s="1">
        <v>3.9100000000000003E-2</v>
      </c>
      <c r="D11" t="s">
        <v>19</v>
      </c>
    </row>
    <row r="12" spans="1:11" x14ac:dyDescent="0.35">
      <c r="B12" s="9" t="s">
        <v>35</v>
      </c>
      <c r="C12" s="3">
        <v>0.4480072667817237</v>
      </c>
      <c r="D12" t="s">
        <v>39</v>
      </c>
    </row>
    <row r="13" spans="1:11" x14ac:dyDescent="0.35">
      <c r="B13" s="9" t="s">
        <v>33</v>
      </c>
      <c r="C13" s="18">
        <v>0.9</v>
      </c>
      <c r="D13" t="s">
        <v>38</v>
      </c>
    </row>
    <row r="14" spans="1:11" x14ac:dyDescent="0.35">
      <c r="B14" s="9" t="s">
        <v>36</v>
      </c>
      <c r="C14" s="3">
        <f>C12*C13</f>
        <v>0.40320654010355134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9E6EF94BC004D8E8AF939996113A9" ma:contentTypeVersion="13" ma:contentTypeDescription="Create a new document." ma:contentTypeScope="" ma:versionID="449eef0590ebbe32b25763f4d6814b50">
  <xsd:schema xmlns:xsd="http://www.w3.org/2001/XMLSchema" xmlns:xs="http://www.w3.org/2001/XMLSchema" xmlns:p="http://schemas.microsoft.com/office/2006/metadata/properties" xmlns:ns3="7126d6c3-ea1a-4e60-930d-65478e63b206" xmlns:ns4="ca06ab1c-127d-41fd-b99b-df921c9f2ee5" targetNamespace="http://schemas.microsoft.com/office/2006/metadata/properties" ma:root="true" ma:fieldsID="5b0543ee75447d8aaa984fb06d9c852f" ns3:_="" ns4:_="">
    <xsd:import namespace="7126d6c3-ea1a-4e60-930d-65478e63b206"/>
    <xsd:import namespace="ca06ab1c-127d-41fd-b99b-df921c9f2e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6d6c3-ea1a-4e60-930d-65478e63b2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6ab1c-127d-41fd-b99b-df921c9f2ee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F41B1-5A1C-4D1B-8D75-24A1B7F7E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6d6c3-ea1a-4e60-930d-65478e63b206"/>
    <ds:schemaRef ds:uri="ca06ab1c-127d-41fd-b99b-df921c9f2e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32C143-B659-408F-B2AE-9C64F074CCC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126d6c3-ea1a-4e60-930d-65478e63b206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ca06ab1c-127d-41fd-b99b-df921c9f2ee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53B3DD-C840-4309-BEAF-6FA4DB4A6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Cool - Norm w TO</vt:lpstr>
      <vt:lpstr>Heat w 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Dent</dc:creator>
  <cp:lastModifiedBy>CJ Consulting</cp:lastModifiedBy>
  <dcterms:created xsi:type="dcterms:W3CDTF">2020-08-05T07:51:34Z</dcterms:created>
  <dcterms:modified xsi:type="dcterms:W3CDTF">2020-10-19T17:21:46Z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0x010100AA79E6EF94BC004D8E8AF939996113A9</vt:lpwstr>
  </property>
</Properties>
</file>