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E37660\Downloads\"/>
    </mc:Choice>
  </mc:AlternateContent>
  <xr:revisionPtr revIDLastSave="0" documentId="8_{0E1BF1B9-601B-43CC-9EED-14E7A24BB6F0}" xr6:coauthVersionLast="47" xr6:coauthVersionMax="47" xr10:uidLastSave="{00000000-0000-0000-0000-000000000000}"/>
  <bookViews>
    <workbookView xWindow="-110" yWindow="-110" windowWidth="25820" windowHeight="13900" tabRatio="826" xr2:uid="{00000000-000D-0000-FFFF-FFFF00000000}"/>
  </bookViews>
  <sheets>
    <sheet name="1- Ex Ante Results" sheetId="1" r:id="rId1"/>
    <sheet name="2- Costs" sheetId="2" r:id="rId2"/>
    <sheet name="3- Energy" sheetId="3" r:id="rId3"/>
    <sheet name="4- Other" sheetId="4" r:id="rId4"/>
    <sheet name="5- CPAS" sheetId="7" r:id="rId5"/>
    <sheet name="6- Historical Costs" sheetId="8" r:id="rId6"/>
    <sheet name="7a. Workforce Equity Quarterly" sheetId="9" r:id="rId7"/>
    <sheet name="7b. Workforce Equity Annual" sheetId="11" r:id="rId8"/>
    <sheet name="8. Budget Shifts" sheetId="12" r:id="rId9"/>
    <sheet name="9. LIEEAC" sheetId="13"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 i="12" l="1"/>
  <c r="G55" i="12" s="1"/>
  <c r="F56" i="12"/>
  <c r="G56" i="12" s="1"/>
  <c r="F57" i="12"/>
  <c r="G57" i="12" s="1"/>
  <c r="F58" i="12"/>
  <c r="G58" i="12" s="1"/>
  <c r="F59" i="12"/>
  <c r="F54" i="12"/>
  <c r="G54" i="12" s="1"/>
  <c r="F48" i="12"/>
  <c r="G48" i="12" s="1"/>
  <c r="F49" i="12"/>
  <c r="G49" i="12" s="1"/>
  <c r="F51" i="12"/>
  <c r="G51" i="12" s="1"/>
  <c r="F52" i="12"/>
  <c r="F41" i="12"/>
  <c r="G41" i="12" s="1"/>
  <c r="F42" i="12"/>
  <c r="G42" i="12" s="1"/>
  <c r="F43" i="12"/>
  <c r="G43" i="12" s="1"/>
  <c r="F45" i="12"/>
  <c r="G45" i="12" s="1"/>
  <c r="F40" i="12"/>
  <c r="G40" i="12" s="1"/>
  <c r="F16" i="12"/>
  <c r="G16" i="12" s="1"/>
  <c r="F17" i="12"/>
  <c r="G17" i="12" s="1"/>
  <c r="F18" i="12"/>
  <c r="G18" i="12" s="1"/>
  <c r="F20" i="12"/>
  <c r="G20" i="12" s="1"/>
  <c r="F23" i="12"/>
  <c r="G23" i="12" s="1"/>
  <c r="F24" i="12"/>
  <c r="G24" i="12" s="1"/>
  <c r="F26" i="12"/>
  <c r="G26" i="12" s="1"/>
  <c r="F27" i="12"/>
  <c r="G27" i="12" s="1"/>
  <c r="F29" i="12"/>
  <c r="G29" i="12" s="1"/>
  <c r="F30" i="12"/>
  <c r="G30" i="12" s="1"/>
  <c r="F31" i="12"/>
  <c r="G31" i="12" s="1"/>
  <c r="F32" i="12"/>
  <c r="G32" i="12" s="1"/>
  <c r="F33" i="12"/>
  <c r="G33" i="12" s="1"/>
  <c r="F34" i="12"/>
  <c r="G34" i="12" s="1"/>
  <c r="F15" i="12"/>
  <c r="G15" i="12" s="1"/>
  <c r="D19" i="12"/>
  <c r="F19" i="12" s="1"/>
  <c r="G19" i="12" s="1"/>
  <c r="D50" i="12"/>
  <c r="F50" i="12" s="1"/>
  <c r="G50" i="12" s="1"/>
  <c r="D47" i="12"/>
  <c r="F47" i="12" s="1"/>
  <c r="G47" i="12" s="1"/>
  <c r="D44" i="12"/>
  <c r="F44" i="12" s="1"/>
  <c r="G44" i="12" s="1"/>
  <c r="D25" i="12"/>
  <c r="F25" i="12" s="1"/>
  <c r="G25" i="12" s="1"/>
  <c r="D22" i="12"/>
  <c r="F22" i="12" s="1"/>
  <c r="G22" i="12" s="1"/>
  <c r="D28" i="12" l="1"/>
  <c r="E60" i="12"/>
  <c r="E53" i="12"/>
  <c r="E46" i="12"/>
  <c r="E35" i="12"/>
  <c r="E28" i="12"/>
  <c r="E21" i="12"/>
  <c r="D60" i="12"/>
  <c r="D53" i="12"/>
  <c r="D46" i="12"/>
  <c r="F28" i="12" l="1"/>
  <c r="G28" i="12" s="1"/>
  <c r="F46" i="12"/>
  <c r="G46" i="12" s="1"/>
  <c r="F53" i="12"/>
  <c r="G53" i="12" s="1"/>
  <c r="F60" i="12"/>
  <c r="G60" i="12" s="1"/>
  <c r="E61" i="12"/>
  <c r="E36" i="12"/>
  <c r="D61" i="12"/>
  <c r="F61" i="12" l="1"/>
  <c r="G61" i="12" s="1"/>
  <c r="D35" i="12"/>
  <c r="F35" i="12" s="1"/>
  <c r="G35" i="12" s="1"/>
  <c r="D21" i="12"/>
  <c r="F21" i="12" s="1"/>
  <c r="G21" i="12" s="1"/>
  <c r="X61" i="1"/>
  <c r="R61" i="1"/>
  <c r="R62" i="1"/>
  <c r="R63" i="1"/>
  <c r="D36" i="12" l="1"/>
  <c r="F36" i="12" s="1"/>
  <c r="G36" i="12" s="1"/>
  <c r="T68" i="1"/>
  <c r="U68" i="1"/>
  <c r="V68" i="1"/>
  <c r="W68" i="1"/>
  <c r="T69" i="1"/>
  <c r="U69" i="1"/>
  <c r="V69" i="1"/>
  <c r="W69" i="1"/>
  <c r="T70" i="1"/>
  <c r="U70" i="1"/>
  <c r="V70" i="1"/>
  <c r="W70" i="1"/>
  <c r="T71" i="1"/>
  <c r="U71" i="1"/>
  <c r="V71" i="1"/>
  <c r="W71" i="1"/>
  <c r="T72" i="1"/>
  <c r="U72" i="1"/>
  <c r="V72" i="1"/>
  <c r="W72" i="1"/>
  <c r="T73" i="1"/>
  <c r="U73" i="1"/>
  <c r="V73" i="1"/>
  <c r="W73" i="1"/>
  <c r="O68" i="1"/>
  <c r="P68" i="1"/>
  <c r="Q68" i="1"/>
  <c r="O69" i="1"/>
  <c r="P69" i="1"/>
  <c r="Q69" i="1"/>
  <c r="O70" i="1"/>
  <c r="P70" i="1"/>
  <c r="Q70" i="1"/>
  <c r="O71" i="1"/>
  <c r="P71" i="1"/>
  <c r="Q71" i="1"/>
  <c r="O72" i="1"/>
  <c r="P72" i="1"/>
  <c r="Q72" i="1"/>
  <c r="O73" i="1"/>
  <c r="P73" i="1"/>
  <c r="Q73" i="1"/>
  <c r="N68" i="1"/>
  <c r="N69" i="1"/>
  <c r="N70" i="1"/>
  <c r="N71" i="1"/>
  <c r="N72" i="1"/>
  <c r="N73" i="1"/>
  <c r="J68" i="1"/>
  <c r="J69" i="1"/>
  <c r="J70" i="1"/>
  <c r="J71" i="1"/>
  <c r="J72" i="1"/>
  <c r="J73" i="1"/>
  <c r="E68" i="1"/>
  <c r="E69" i="1"/>
  <c r="E70" i="1"/>
  <c r="E71" i="1"/>
  <c r="E72" i="1"/>
  <c r="E73" i="1"/>
  <c r="I73" i="1"/>
  <c r="I72" i="1"/>
  <c r="I71" i="1"/>
  <c r="I70" i="1"/>
  <c r="I69" i="1"/>
  <c r="I68" i="1"/>
  <c r="D73" i="1"/>
  <c r="D72" i="1"/>
  <c r="D71" i="1"/>
  <c r="D70" i="1"/>
  <c r="D69" i="1"/>
  <c r="D68" i="1"/>
  <c r="B73" i="1"/>
  <c r="B72" i="1"/>
  <c r="B71" i="1"/>
  <c r="B70" i="1"/>
  <c r="B69" i="1"/>
  <c r="B68" i="1"/>
  <c r="E41" i="8"/>
  <c r="E40" i="8"/>
  <c r="E39" i="8"/>
  <c r="L41" i="8"/>
  <c r="L40" i="8"/>
  <c r="L39" i="8"/>
  <c r="S39" i="8"/>
  <c r="S40" i="8"/>
  <c r="S41" i="8"/>
  <c r="L69" i="1" l="1"/>
  <c r="G68" i="1"/>
  <c r="G69" i="1"/>
  <c r="G70" i="1"/>
  <c r="G71" i="1"/>
  <c r="G72" i="1"/>
  <c r="G73" i="1"/>
  <c r="L73" i="1"/>
  <c r="L72" i="1"/>
  <c r="L71" i="1"/>
  <c r="L70" i="1"/>
  <c r="L68" i="1"/>
  <c r="K42" i="8"/>
  <c r="R41" i="8"/>
  <c r="Q41" i="8"/>
  <c r="R40" i="8"/>
  <c r="Q40" i="8"/>
  <c r="R39" i="8"/>
  <c r="Q39" i="8"/>
  <c r="R38" i="8"/>
  <c r="D42" i="8"/>
  <c r="U33" i="4"/>
  <c r="U32" i="4"/>
  <c r="U31" i="4"/>
  <c r="U30" i="4"/>
  <c r="K42" i="3"/>
  <c r="J42" i="3"/>
  <c r="F42" i="3"/>
  <c r="E42" i="3"/>
  <c r="R42" i="8" l="1"/>
  <c r="S61" i="1" l="1"/>
  <c r="S62" i="1"/>
  <c r="X62" i="1" s="1"/>
  <c r="S63" i="1"/>
  <c r="X63" i="1" s="1"/>
  <c r="L29" i="1"/>
  <c r="L50" i="1"/>
  <c r="L51" i="1"/>
  <c r="L52" i="1"/>
  <c r="L53" i="1"/>
  <c r="L54" i="1"/>
  <c r="L55" i="1"/>
  <c r="L56" i="1"/>
  <c r="L57" i="1"/>
  <c r="L58" i="1"/>
  <c r="L59" i="1"/>
  <c r="L60" i="1"/>
  <c r="L61" i="1"/>
  <c r="L62" i="1"/>
  <c r="L63" i="1"/>
  <c r="L49" i="1"/>
  <c r="G61" i="1"/>
  <c r="G62" i="1"/>
  <c r="G63" i="1"/>
  <c r="G44" i="1"/>
  <c r="M34" i="1"/>
  <c r="C24" i="2"/>
  <c r="K47" i="1"/>
  <c r="C32" i="1"/>
  <c r="C66" i="1"/>
  <c r="T33" i="4"/>
  <c r="T32" i="4"/>
  <c r="T31" i="4"/>
  <c r="T30" i="4"/>
  <c r="C33" i="1" l="1"/>
  <c r="C79" i="1"/>
  <c r="N66" i="1"/>
  <c r="O66" i="1"/>
  <c r="S34" i="1" l="1"/>
  <c r="U66" i="1" l="1"/>
  <c r="V66" i="1"/>
  <c r="W66" i="1"/>
  <c r="T66" i="1"/>
  <c r="P66" i="1"/>
  <c r="Q66" i="1"/>
  <c r="J66" i="1"/>
  <c r="K66" i="1"/>
  <c r="I66" i="1"/>
  <c r="H66" i="1"/>
  <c r="E66" i="1"/>
  <c r="F66" i="1"/>
  <c r="D66" i="1"/>
  <c r="S49" i="1"/>
  <c r="X49" i="1" s="1"/>
  <c r="M49" i="1"/>
  <c r="R49" i="1" s="1"/>
  <c r="G49" i="1"/>
  <c r="E24" i="7" l="1"/>
  <c r="S33" i="4" l="1"/>
  <c r="S32" i="4"/>
  <c r="S31" i="4"/>
  <c r="S30" i="4"/>
  <c r="R24" i="1"/>
  <c r="R28" i="1"/>
  <c r="Q32" i="1" l="1"/>
  <c r="Q33" i="1" s="1"/>
  <c r="Q30" i="4"/>
  <c r="Q31" i="4"/>
  <c r="Q32" i="4"/>
  <c r="Q33" i="4"/>
  <c r="S29" i="8"/>
  <c r="R30" i="4" l="1"/>
  <c r="X24" i="1" l="1"/>
  <c r="X39" i="1"/>
  <c r="G52" i="1"/>
  <c r="G53" i="1"/>
  <c r="G54" i="1"/>
  <c r="G55" i="1"/>
  <c r="G56" i="1"/>
  <c r="G58" i="1"/>
  <c r="G59" i="1"/>
  <c r="G37" i="1"/>
  <c r="G38" i="1"/>
  <c r="G39" i="1"/>
  <c r="G40" i="1"/>
  <c r="G41" i="1"/>
  <c r="G42" i="1"/>
  <c r="G43" i="1"/>
  <c r="L37" i="1"/>
  <c r="L38" i="1"/>
  <c r="L39" i="1"/>
  <c r="L40" i="1"/>
  <c r="L41" i="1"/>
  <c r="L42" i="1"/>
  <c r="L43" i="1"/>
  <c r="L44" i="1"/>
  <c r="L36" i="1"/>
  <c r="E18" i="7"/>
  <c r="E34" i="7" s="1"/>
  <c r="E26" i="7"/>
  <c r="S53" i="1"/>
  <c r="X53" i="1" s="1"/>
  <c r="S54" i="1"/>
  <c r="X54" i="1" s="1"/>
  <c r="S56" i="1"/>
  <c r="S57" i="1"/>
  <c r="S71" i="1" s="1"/>
  <c r="X71" i="1" s="1"/>
  <c r="S58" i="1"/>
  <c r="S72" i="1" s="1"/>
  <c r="X72" i="1" s="1"/>
  <c r="S59" i="1"/>
  <c r="S60" i="1"/>
  <c r="S39" i="1"/>
  <c r="S40" i="1"/>
  <c r="X40" i="1" s="1"/>
  <c r="S41" i="1"/>
  <c r="S69" i="1" s="1"/>
  <c r="X69" i="1" s="1"/>
  <c r="S42" i="1"/>
  <c r="S43" i="1"/>
  <c r="X43" i="1" s="1"/>
  <c r="S44" i="1"/>
  <c r="X44" i="1" s="1"/>
  <c r="S45" i="1"/>
  <c r="M56" i="1"/>
  <c r="M57" i="1"/>
  <c r="M71" i="1" s="1"/>
  <c r="R71" i="1" s="1"/>
  <c r="M58" i="1"/>
  <c r="M72" i="1" s="1"/>
  <c r="R72" i="1" s="1"/>
  <c r="M59" i="1"/>
  <c r="M60" i="1"/>
  <c r="M53" i="1"/>
  <c r="R53" i="1" s="1"/>
  <c r="M54" i="1"/>
  <c r="R54" i="1" s="1"/>
  <c r="M39" i="1"/>
  <c r="R39" i="1" s="1"/>
  <c r="M40" i="1"/>
  <c r="R40" i="1" s="1"/>
  <c r="M41" i="1"/>
  <c r="M42" i="1"/>
  <c r="M70" i="1" s="1"/>
  <c r="R70" i="1" s="1"/>
  <c r="Q47" i="1"/>
  <c r="Q82" i="1" s="1"/>
  <c r="R41" i="1" l="1"/>
  <c r="M69" i="1"/>
  <c r="R69" i="1" s="1"/>
  <c r="X42" i="1"/>
  <c r="S70" i="1"/>
  <c r="X70" i="1" s="1"/>
  <c r="R42" i="1"/>
  <c r="E35" i="7"/>
  <c r="G60" i="1"/>
  <c r="G51" i="1"/>
  <c r="G57" i="1"/>
  <c r="X41" i="1"/>
  <c r="S55" i="1"/>
  <c r="X55" i="1" s="1"/>
  <c r="M55" i="1"/>
  <c r="R55" i="1" s="1"/>
  <c r="R33" i="4"/>
  <c r="R32" i="4"/>
  <c r="R31" i="4"/>
  <c r="R47" i="1"/>
  <c r="I33" i="3" l="1"/>
  <c r="D33" i="3"/>
  <c r="M25" i="1" l="1"/>
  <c r="R25" i="1" s="1"/>
  <c r="M26" i="1"/>
  <c r="M27" i="1"/>
  <c r="R27" i="1" s="1"/>
  <c r="M28" i="1"/>
  <c r="M73" i="1" s="1"/>
  <c r="R73" i="1" s="1"/>
  <c r="M29" i="1"/>
  <c r="R29" i="1" s="1"/>
  <c r="M24" i="1"/>
  <c r="M23" i="1"/>
  <c r="R23" i="1" s="1"/>
  <c r="X58" i="1" l="1"/>
  <c r="X59" i="1"/>
  <c r="R58" i="1"/>
  <c r="R59" i="1"/>
  <c r="R60" i="1"/>
  <c r="X60" i="1" l="1"/>
  <c r="J47" i="1" l="1"/>
  <c r="J32" i="1"/>
  <c r="J33" i="1" s="1"/>
  <c r="J82" i="1" l="1"/>
  <c r="J79" i="1"/>
  <c r="R33" i="8"/>
  <c r="R34" i="8"/>
  <c r="R35" i="8"/>
  <c r="R36" i="8"/>
  <c r="R28" i="8"/>
  <c r="R29" i="8"/>
  <c r="R32" i="8" s="1"/>
  <c r="R30" i="8"/>
  <c r="R31" i="8"/>
  <c r="Q29" i="8"/>
  <c r="Q30" i="8"/>
  <c r="S30" i="8" s="1"/>
  <c r="Q31" i="8"/>
  <c r="Q28" i="8"/>
  <c r="T25" i="8"/>
  <c r="T24" i="8"/>
  <c r="T23" i="8"/>
  <c r="T21" i="8"/>
  <c r="T20" i="8"/>
  <c r="T19" i="8"/>
  <c r="T16" i="8"/>
  <c r="T17" i="8"/>
  <c r="T15" i="8"/>
  <c r="R25" i="8"/>
  <c r="Q25" i="8"/>
  <c r="R24" i="8"/>
  <c r="Q24" i="8"/>
  <c r="R23" i="8"/>
  <c r="R26" i="8" s="1"/>
  <c r="Q23" i="8"/>
  <c r="R21" i="8"/>
  <c r="Q21" i="8"/>
  <c r="R20" i="8"/>
  <c r="Q20" i="8"/>
  <c r="R19" i="8"/>
  <c r="R22" i="8" s="1"/>
  <c r="Q19" i="8"/>
  <c r="Q16" i="8"/>
  <c r="R16" i="8"/>
  <c r="S16" i="8" s="1"/>
  <c r="Q17" i="8"/>
  <c r="R17" i="8"/>
  <c r="S17" i="8" s="1"/>
  <c r="R15" i="8"/>
  <c r="Q15" i="8"/>
  <c r="R37" i="8" l="1"/>
  <c r="S31" i="8"/>
  <c r="T26" i="8"/>
  <c r="T22" i="8"/>
  <c r="U17" i="8"/>
  <c r="U16" i="8"/>
  <c r="T18" i="8"/>
  <c r="S19" i="8"/>
  <c r="U19" i="8" s="1"/>
  <c r="R18" i="8"/>
  <c r="S15" i="8"/>
  <c r="S18" i="8" s="1"/>
  <c r="Q18" i="8"/>
  <c r="K37" i="8"/>
  <c r="K32" i="8"/>
  <c r="L32" i="8" s="1"/>
  <c r="J32" i="8"/>
  <c r="L31" i="8"/>
  <c r="L30" i="8"/>
  <c r="L29" i="8"/>
  <c r="L28" i="8"/>
  <c r="M26" i="8"/>
  <c r="K26" i="8"/>
  <c r="J26" i="8"/>
  <c r="L25" i="8"/>
  <c r="N25" i="8" s="1"/>
  <c r="L24" i="8"/>
  <c r="N24" i="8" s="1"/>
  <c r="L23" i="8"/>
  <c r="N23" i="8" s="1"/>
  <c r="M22" i="8"/>
  <c r="K22" i="8"/>
  <c r="J22" i="8"/>
  <c r="L21" i="8"/>
  <c r="N21" i="8" s="1"/>
  <c r="L20" i="8"/>
  <c r="N20" i="8" s="1"/>
  <c r="L19" i="8"/>
  <c r="N19" i="8" s="1"/>
  <c r="M18" i="8"/>
  <c r="K18" i="8"/>
  <c r="J18" i="8"/>
  <c r="L17" i="8"/>
  <c r="N17" i="8" s="1"/>
  <c r="L16" i="8"/>
  <c r="N16" i="8" s="1"/>
  <c r="L15" i="8"/>
  <c r="N15" i="8" s="1"/>
  <c r="G21" i="8"/>
  <c r="G19" i="8"/>
  <c r="E24" i="8"/>
  <c r="G24" i="8" s="1"/>
  <c r="E25" i="8"/>
  <c r="G25" i="8" s="1"/>
  <c r="E23" i="8"/>
  <c r="G23" i="8" s="1"/>
  <c r="E20" i="8"/>
  <c r="G20" i="8" s="1"/>
  <c r="E21" i="8"/>
  <c r="E19" i="8"/>
  <c r="E16" i="8"/>
  <c r="G16" i="8" s="1"/>
  <c r="E17" i="8"/>
  <c r="G17" i="8" s="1"/>
  <c r="E29" i="8"/>
  <c r="E30" i="8"/>
  <c r="E31" i="8"/>
  <c r="E28" i="8"/>
  <c r="D37" i="8"/>
  <c r="D32" i="8"/>
  <c r="C32" i="8"/>
  <c r="E32" i="8" s="1"/>
  <c r="D26" i="8"/>
  <c r="F26" i="8"/>
  <c r="C26" i="8"/>
  <c r="D22" i="8"/>
  <c r="E22" i="8"/>
  <c r="F22" i="8"/>
  <c r="C22" i="8"/>
  <c r="D18" i="8"/>
  <c r="F18" i="8"/>
  <c r="C18" i="8"/>
  <c r="E15" i="8"/>
  <c r="G15" i="8" s="1"/>
  <c r="E23" i="7"/>
  <c r="D30" i="4"/>
  <c r="E30" i="4"/>
  <c r="F30" i="4"/>
  <c r="G30" i="4"/>
  <c r="H30" i="4"/>
  <c r="I30" i="4"/>
  <c r="J30" i="4"/>
  <c r="K30" i="4"/>
  <c r="L30" i="4"/>
  <c r="M30" i="4"/>
  <c r="N30" i="4"/>
  <c r="O30" i="4"/>
  <c r="P30" i="4"/>
  <c r="D31" i="4"/>
  <c r="E31" i="4"/>
  <c r="F31" i="4"/>
  <c r="G31" i="4"/>
  <c r="H31" i="4"/>
  <c r="I31" i="4"/>
  <c r="J31" i="4"/>
  <c r="K31" i="4"/>
  <c r="L31" i="4"/>
  <c r="M31" i="4"/>
  <c r="N31" i="4"/>
  <c r="O31" i="4"/>
  <c r="P31" i="4"/>
  <c r="D32" i="4"/>
  <c r="E32" i="4"/>
  <c r="F32" i="4"/>
  <c r="G32" i="4"/>
  <c r="H32" i="4"/>
  <c r="I32" i="4"/>
  <c r="J32" i="4"/>
  <c r="K32" i="4"/>
  <c r="L32" i="4"/>
  <c r="M32" i="4"/>
  <c r="N32" i="4"/>
  <c r="O32" i="4"/>
  <c r="P32" i="4"/>
  <c r="D33" i="4"/>
  <c r="E33" i="4"/>
  <c r="F33" i="4"/>
  <c r="G33" i="4"/>
  <c r="H33" i="4"/>
  <c r="I33" i="4"/>
  <c r="J33" i="4"/>
  <c r="K33" i="4"/>
  <c r="L33" i="4"/>
  <c r="M33" i="4"/>
  <c r="N33" i="4"/>
  <c r="O33" i="4"/>
  <c r="P33" i="4"/>
  <c r="C31" i="4"/>
  <c r="C32" i="4"/>
  <c r="C33" i="4"/>
  <c r="C30" i="4"/>
  <c r="P12" i="4"/>
  <c r="J37" i="3"/>
  <c r="K37" i="3"/>
  <c r="J32" i="3"/>
  <c r="K32" i="3"/>
  <c r="I32" i="3"/>
  <c r="L32" i="3" s="1"/>
  <c r="J27" i="3"/>
  <c r="K27" i="3"/>
  <c r="I27" i="3"/>
  <c r="J22" i="3"/>
  <c r="K22" i="3"/>
  <c r="I22" i="3"/>
  <c r="J18" i="3"/>
  <c r="K18" i="3"/>
  <c r="I18" i="3"/>
  <c r="F37" i="3"/>
  <c r="F32" i="3"/>
  <c r="E32" i="3"/>
  <c r="D32" i="3"/>
  <c r="E27" i="3"/>
  <c r="F27" i="3"/>
  <c r="D27" i="3"/>
  <c r="F22" i="3"/>
  <c r="G22" i="3" s="1"/>
  <c r="E22" i="3"/>
  <c r="D22" i="3"/>
  <c r="E18" i="3"/>
  <c r="F18" i="3"/>
  <c r="D18" i="3"/>
  <c r="G18" i="3" s="1"/>
  <c r="L31" i="3"/>
  <c r="L30" i="3"/>
  <c r="L29" i="3"/>
  <c r="L28" i="3"/>
  <c r="L27" i="3"/>
  <c r="L26" i="3"/>
  <c r="L25" i="3"/>
  <c r="L24" i="3"/>
  <c r="L23" i="3"/>
  <c r="L21" i="3"/>
  <c r="L20" i="3"/>
  <c r="L19" i="3"/>
  <c r="G16" i="3"/>
  <c r="G17" i="3"/>
  <c r="G19" i="3"/>
  <c r="G20" i="3"/>
  <c r="G21" i="3"/>
  <c r="G23" i="3"/>
  <c r="G24" i="3"/>
  <c r="G25" i="3"/>
  <c r="G26" i="3"/>
  <c r="G28" i="3"/>
  <c r="G29" i="3"/>
  <c r="G30" i="3"/>
  <c r="G31" i="3"/>
  <c r="G15" i="3"/>
  <c r="E21" i="2"/>
  <c r="E22" i="2"/>
  <c r="E23" i="2"/>
  <c r="D24" i="2"/>
  <c r="W47" i="1"/>
  <c r="V47" i="1"/>
  <c r="U47" i="1"/>
  <c r="T47" i="1"/>
  <c r="W32" i="1"/>
  <c r="W33" i="1" s="1"/>
  <c r="V32" i="1"/>
  <c r="V33" i="1" s="1"/>
  <c r="U32" i="1"/>
  <c r="U33" i="1" s="1"/>
  <c r="T32" i="1"/>
  <c r="T33" i="1" s="1"/>
  <c r="M66" i="1"/>
  <c r="P47" i="1"/>
  <c r="O47" i="1"/>
  <c r="N47" i="1"/>
  <c r="P32" i="1"/>
  <c r="P33" i="1" s="1"/>
  <c r="O32" i="1"/>
  <c r="O33" i="1" s="1"/>
  <c r="N32" i="1"/>
  <c r="S81" i="1"/>
  <c r="S52" i="1"/>
  <c r="X52" i="1" s="1"/>
  <c r="S51" i="1"/>
  <c r="X51" i="1" s="1"/>
  <c r="S50" i="1"/>
  <c r="X50" i="1" s="1"/>
  <c r="S48" i="1"/>
  <c r="S38" i="1"/>
  <c r="X38" i="1" s="1"/>
  <c r="S37" i="1"/>
  <c r="S68" i="1" s="1"/>
  <c r="X68" i="1" s="1"/>
  <c r="S36" i="1"/>
  <c r="X36" i="1" s="1"/>
  <c r="X34" i="1"/>
  <c r="S29" i="1"/>
  <c r="X29" i="1" s="1"/>
  <c r="S28" i="1"/>
  <c r="S27" i="1"/>
  <c r="S26" i="1"/>
  <c r="S25" i="1"/>
  <c r="X25" i="1" s="1"/>
  <c r="S24" i="1"/>
  <c r="S23" i="1"/>
  <c r="X23" i="1" s="1"/>
  <c r="R34" i="1"/>
  <c r="M36" i="1"/>
  <c r="R36" i="1" s="1"/>
  <c r="M37" i="1"/>
  <c r="M68" i="1" s="1"/>
  <c r="R68" i="1" s="1"/>
  <c r="M38" i="1"/>
  <c r="R38" i="1" s="1"/>
  <c r="M43" i="1"/>
  <c r="R43" i="1" s="1"/>
  <c r="M44" i="1"/>
  <c r="R44" i="1" s="1"/>
  <c r="M48" i="1"/>
  <c r="M50" i="1"/>
  <c r="R50" i="1" s="1"/>
  <c r="M51" i="1"/>
  <c r="R51" i="1" s="1"/>
  <c r="M52" i="1"/>
  <c r="R52" i="1" s="1"/>
  <c r="M81" i="1"/>
  <c r="X81" i="1"/>
  <c r="R81" i="1"/>
  <c r="I47" i="1"/>
  <c r="H47" i="1"/>
  <c r="K32" i="1"/>
  <c r="I32" i="1"/>
  <c r="I33" i="1" s="1"/>
  <c r="L81" i="1"/>
  <c r="L34" i="1"/>
  <c r="L28" i="1"/>
  <c r="L27" i="1"/>
  <c r="L26" i="1"/>
  <c r="L25" i="1"/>
  <c r="L24" i="1"/>
  <c r="L23" i="1"/>
  <c r="G34" i="1"/>
  <c r="G36" i="1"/>
  <c r="G50" i="1"/>
  <c r="G81" i="1"/>
  <c r="G24" i="1"/>
  <c r="G25" i="1"/>
  <c r="G26" i="1"/>
  <c r="G27" i="1"/>
  <c r="G28" i="1"/>
  <c r="F47" i="1"/>
  <c r="E47" i="1"/>
  <c r="D47" i="1"/>
  <c r="C47" i="1"/>
  <c r="K33" i="1" l="1"/>
  <c r="N33" i="1"/>
  <c r="M33" i="1" s="1"/>
  <c r="C13" i="2" s="1"/>
  <c r="K82" i="1"/>
  <c r="C82" i="1"/>
  <c r="U12" i="4" s="1"/>
  <c r="X28" i="1"/>
  <c r="S73" i="1"/>
  <c r="X73" i="1" s="1"/>
  <c r="O82" i="1"/>
  <c r="X26" i="1"/>
  <c r="P82" i="1"/>
  <c r="I82" i="1"/>
  <c r="V82" i="1"/>
  <c r="W82" i="1"/>
  <c r="T82" i="1"/>
  <c r="U82" i="1"/>
  <c r="N82" i="1"/>
  <c r="S33" i="1"/>
  <c r="D13" i="2" s="1"/>
  <c r="R37" i="1"/>
  <c r="X37" i="1"/>
  <c r="X27" i="1"/>
  <c r="R26" i="1"/>
  <c r="R66" i="1"/>
  <c r="G32" i="3"/>
  <c r="R57" i="1"/>
  <c r="X56" i="1"/>
  <c r="X57" i="1"/>
  <c r="R56" i="1"/>
  <c r="G47" i="1"/>
  <c r="G66" i="1"/>
  <c r="M47" i="1"/>
  <c r="C15" i="2" s="1"/>
  <c r="N22" i="8"/>
  <c r="U15" i="8"/>
  <c r="U18" i="8" s="1"/>
  <c r="N26" i="8"/>
  <c r="N18" i="8"/>
  <c r="L18" i="8"/>
  <c r="L22" i="8"/>
  <c r="L26" i="8"/>
  <c r="E26" i="8"/>
  <c r="G22" i="8"/>
  <c r="G18" i="8"/>
  <c r="G26" i="8"/>
  <c r="E18" i="8"/>
  <c r="D79" i="1"/>
  <c r="S66" i="1"/>
  <c r="D16" i="2" s="1"/>
  <c r="C14" i="2"/>
  <c r="H79" i="1"/>
  <c r="M32" i="1"/>
  <c r="D14" i="2"/>
  <c r="S47" i="1"/>
  <c r="L22" i="3"/>
  <c r="G27" i="3"/>
  <c r="V79" i="1"/>
  <c r="W79" i="1"/>
  <c r="T79" i="1"/>
  <c r="U79" i="1"/>
  <c r="O79" i="1"/>
  <c r="P79" i="1"/>
  <c r="N79" i="1"/>
  <c r="S32" i="1"/>
  <c r="I79" i="1"/>
  <c r="F79" i="1"/>
  <c r="L66" i="1"/>
  <c r="E79" i="1"/>
  <c r="K79" i="1"/>
  <c r="L47" i="1"/>
  <c r="D38" i="3" l="1"/>
  <c r="G38" i="3" s="1"/>
  <c r="S82" i="1"/>
  <c r="X82" i="1" s="1"/>
  <c r="M82" i="1"/>
  <c r="R82" i="1" s="1"/>
  <c r="X33" i="1"/>
  <c r="E13" i="2"/>
  <c r="R33" i="1"/>
  <c r="Q79" i="1"/>
  <c r="X32" i="1"/>
  <c r="R32" i="1"/>
  <c r="D15" i="2"/>
  <c r="D18" i="2" s="1"/>
  <c r="C16" i="2"/>
  <c r="E16" i="2" s="1"/>
  <c r="E14" i="2"/>
  <c r="M79" i="1"/>
  <c r="C17" i="2" s="1"/>
  <c r="L79" i="1"/>
  <c r="X66" i="1"/>
  <c r="G79" i="1"/>
  <c r="X47" i="1"/>
  <c r="S79" i="1"/>
  <c r="D42" i="3" l="1"/>
  <c r="G42" i="3" s="1"/>
  <c r="E15" i="2"/>
  <c r="E18" i="2" s="1"/>
  <c r="C18" i="2"/>
  <c r="C25" i="2" s="1"/>
  <c r="R79" i="1"/>
  <c r="L33" i="3"/>
  <c r="E20" i="2"/>
  <c r="E24" i="2" s="1"/>
  <c r="X79" i="1"/>
  <c r="D17" i="2"/>
  <c r="E17" i="2" l="1"/>
  <c r="E25" i="2" s="1"/>
  <c r="E30" i="2" s="1"/>
  <c r="G30" i="2" s="1"/>
  <c r="D25" i="2"/>
  <c r="D30" i="2" s="1"/>
  <c r="L36" i="8" l="1"/>
  <c r="J38" i="8"/>
  <c r="C30" i="2"/>
  <c r="C38" i="8" s="1"/>
  <c r="L34" i="8"/>
  <c r="L35" i="8"/>
  <c r="E35" i="8"/>
  <c r="E33" i="8"/>
  <c r="Q33" i="8"/>
  <c r="J37" i="8"/>
  <c r="L37" i="8" s="1"/>
  <c r="L33" i="8"/>
  <c r="E38" i="8" l="1"/>
  <c r="Q38" i="8"/>
  <c r="C42" i="8"/>
  <c r="E42" i="8" s="1"/>
  <c r="L38" i="8"/>
  <c r="J42" i="8"/>
  <c r="L42" i="8" s="1"/>
  <c r="E36" i="8"/>
  <c r="C37" i="8"/>
  <c r="E37" i="8" s="1"/>
  <c r="Q36" i="8"/>
  <c r="S36" i="8" s="1"/>
  <c r="Q35" i="8"/>
  <c r="S35" i="8" s="1"/>
  <c r="Q34" i="8"/>
  <c r="E34" i="8"/>
  <c r="S33" i="8"/>
  <c r="E37" i="7"/>
  <c r="S38" i="8" l="1"/>
  <c r="Q42" i="8"/>
  <c r="S42" i="8" s="1"/>
  <c r="S28" i="8"/>
  <c r="S34" i="8"/>
  <c r="Q26" i="8"/>
  <c r="Q37" i="8"/>
  <c r="S37" i="8" s="1"/>
  <c r="E27" i="7"/>
  <c r="E32" i="1"/>
  <c r="G23" i="1"/>
  <c r="D32" i="1"/>
  <c r="F32" i="1"/>
  <c r="F33" i="1" l="1"/>
  <c r="E82" i="1"/>
  <c r="E33" i="1"/>
  <c r="D82" i="1"/>
  <c r="D33" i="1"/>
  <c r="F82" i="1"/>
  <c r="E37" i="3"/>
  <c r="Q12" i="4"/>
  <c r="G33" i="3" l="1"/>
  <c r="G29" i="1"/>
  <c r="H32" i="1" l="1"/>
  <c r="H33" i="1" l="1"/>
  <c r="L33" i="1" s="1"/>
  <c r="H82" i="1"/>
  <c r="L32" i="1"/>
  <c r="G33" i="1"/>
  <c r="G32" i="1"/>
  <c r="L82" i="1" l="1"/>
  <c r="U21" i="4"/>
  <c r="I38" i="3"/>
  <c r="L36" i="3"/>
  <c r="G36" i="3"/>
  <c r="L35" i="3"/>
  <c r="G35" i="3"/>
  <c r="E29" i="7"/>
  <c r="E28" i="7" s="1"/>
  <c r="G34" i="3"/>
  <c r="G82" i="1"/>
  <c r="L38" i="3" l="1"/>
  <c r="I42" i="3"/>
  <c r="L42" i="3" s="1"/>
  <c r="I37" i="3"/>
  <c r="L37" i="3" s="1"/>
  <c r="L34" i="3"/>
  <c r="D37" i="3"/>
  <c r="G37" i="3" s="1"/>
  <c r="E36" i="7"/>
  <c r="E38" i="7" s="1"/>
  <c r="E39" i="7" s="1"/>
  <c r="E30" i="7"/>
  <c r="U25" i="8"/>
  <c r="S25" i="8"/>
  <c r="U26" i="8"/>
  <c r="U23" i="8"/>
  <c r="S23" i="8"/>
  <c r="S26" i="8"/>
  <c r="U24" i="8"/>
  <c r="S24" i="8"/>
  <c r="U22" i="8"/>
  <c r="U20" i="8"/>
  <c r="U21" i="8"/>
  <c r="S21" i="8"/>
  <c r="Q32" i="8"/>
  <c r="S32" i="8"/>
  <c r="Q22" i="8"/>
  <c r="S20" i="8"/>
  <c r="S22" i="8"/>
</calcChain>
</file>

<file path=xl/sharedStrings.xml><?xml version="1.0" encoding="utf-8"?>
<sst xmlns="http://schemas.openxmlformats.org/spreadsheetml/2006/main" count="721" uniqueCount="337">
  <si>
    <t>Statewide Quarterly Report Template</t>
  </si>
  <si>
    <t>Tab 1: Ex Ante Results</t>
  </si>
  <si>
    <t>Final (updated 2-7-2020)</t>
  </si>
  <si>
    <r>
      <rPr>
        <b/>
        <sz val="11"/>
        <rFont val="Century Gothic"/>
        <family val="2"/>
      </rPr>
      <t>Background:
*</t>
    </r>
    <r>
      <rPr>
        <sz val="11"/>
        <rFont val="Century Gothic"/>
        <family val="2"/>
      </rPr>
      <t>Definitions used within this template correspond to IL Energy Efficiency Policy Manual Version 2.0.
*Footnotes have been added where clarifying information may be helpful.
*See Section 6.6 of IL Energy Efficiency Policy Manual Version 2.0 for a full list of requirements for Program Administrator Quarterly Reports.</t>
    </r>
  </si>
  <si>
    <r>
      <rPr>
        <b/>
        <sz val="11"/>
        <color theme="1"/>
        <rFont val="Century Gothic"/>
        <family val="2"/>
      </rPr>
      <t>Instructions:</t>
    </r>
    <r>
      <rPr>
        <sz val="11"/>
        <color theme="1"/>
        <rFont val="Century Gothic"/>
        <family val="2"/>
      </rPr>
      <t xml:space="preserve">
*"Sector-level"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r>
  </si>
  <si>
    <t>[Ameren Illinois] Ex Ante Results - Section 8-103B/8-104 (EEPS) Programs [PY2026 Q1]</t>
  </si>
  <si>
    <r>
      <rPr>
        <b/>
        <sz val="10"/>
        <color rgb="FF00B050"/>
        <rFont val="Century Gothic"/>
        <family val="2"/>
      </rPr>
      <t>Electric</t>
    </r>
    <r>
      <rPr>
        <sz val="10"/>
        <color theme="1"/>
        <rFont val="Century Gothic"/>
        <family val="2"/>
      </rPr>
      <t xml:space="preserve"> Savings</t>
    </r>
  </si>
  <si>
    <r>
      <rPr>
        <b/>
        <sz val="10"/>
        <color rgb="FF00B0F0"/>
        <rFont val="Century Gothic"/>
        <family val="2"/>
      </rPr>
      <t>Gas</t>
    </r>
    <r>
      <rPr>
        <sz val="10"/>
        <color theme="1"/>
        <rFont val="Century Gothic"/>
        <family val="2"/>
      </rPr>
      <t xml:space="preserve"> Savings</t>
    </r>
  </si>
  <si>
    <r>
      <rPr>
        <b/>
        <sz val="10"/>
        <color rgb="FF00B050"/>
        <rFont val="Century Gothic"/>
        <family val="2"/>
      </rPr>
      <t>Electric</t>
    </r>
    <r>
      <rPr>
        <sz val="10"/>
        <color theme="1"/>
        <rFont val="Century Gothic"/>
        <family val="2"/>
      </rPr>
      <t xml:space="preserve"> Costs</t>
    </r>
  </si>
  <si>
    <r>
      <rPr>
        <b/>
        <sz val="10"/>
        <color rgb="FF00B0F0"/>
        <rFont val="Century Gothic"/>
        <family val="2"/>
      </rPr>
      <t>Gas</t>
    </r>
    <r>
      <rPr>
        <sz val="10"/>
        <color theme="1"/>
        <rFont val="Century Gothic"/>
        <family val="2"/>
      </rPr>
      <t xml:space="preserve"> Costs</t>
    </r>
  </si>
  <si>
    <t xml:space="preserve"> Section 8-103B/8-104
(EEPS) Program</t>
  </si>
  <si>
    <t>Net Energy Savings Achieved
(MWh or therms)</t>
  </si>
  <si>
    <t>2026 Original Plan 
Savings Goal
(MWh or therms)****</t>
  </si>
  <si>
    <t>Approved Net Energy Savings Goal (MWh or therms)***</t>
  </si>
  <si>
    <t>Implementation Plan Savings Goal
(MWh or therms)</t>
  </si>
  <si>
    <t>% Savings Achieved Compared to Implementation Plan Savings Goal</t>
  </si>
  <si>
    <t>Program Costs YTD</t>
  </si>
  <si>
    <t>Incentive Costs YTD</t>
  </si>
  <si>
    <t>Non-Incentive Costs YTD</t>
  </si>
  <si>
    <t>2026 Original Plan 
Budget*</t>
  </si>
  <si>
    <t>2026
Approved Budget**</t>
  </si>
  <si>
    <t>% of Costs YTD Compared to Approved Budget</t>
  </si>
  <si>
    <t>Commercial &amp; Industrial Programs</t>
  </si>
  <si>
    <t>Standard - Prescriptive</t>
  </si>
  <si>
    <t>Midstream - Lighting</t>
  </si>
  <si>
    <t>Midstream - Food Service</t>
  </si>
  <si>
    <t xml:space="preserve">Small Business </t>
  </si>
  <si>
    <t>Custom</t>
  </si>
  <si>
    <t>Retro-Commissioning</t>
  </si>
  <si>
    <t>Bus Market Transformation</t>
  </si>
  <si>
    <t>C&amp;I Programs Subtotal</t>
  </si>
  <si>
    <t>C&amp;I Programs - Private Sector Total</t>
  </si>
  <si>
    <t>C&amp;I Programs - Public Sector Total</t>
  </si>
  <si>
    <t>Residential Programs</t>
  </si>
  <si>
    <t>Midstream - Midstream HVAC</t>
  </si>
  <si>
    <t>Home Efficiency</t>
  </si>
  <si>
    <t>Multifamily - Direct Install</t>
  </si>
  <si>
    <t>Multifamily - Heat Pumps</t>
  </si>
  <si>
    <t>Multifamily - Whole Building</t>
  </si>
  <si>
    <t>Retail Products - POP</t>
  </si>
  <si>
    <t>Retail Products - Online Marketplace</t>
  </si>
  <si>
    <t>Res Market Transformation</t>
  </si>
  <si>
    <t>Public Housing -  Public Housing</t>
  </si>
  <si>
    <t>Residential Programs Subtotal</t>
  </si>
  <si>
    <t>Income Qualified Programs</t>
  </si>
  <si>
    <t xml:space="preserve"> IQ - School Kits</t>
  </si>
  <si>
    <t>IQ - High School Kits</t>
  </si>
  <si>
    <t>IQ - Accessibility</t>
  </si>
  <si>
    <t>IQ - New Construction</t>
  </si>
  <si>
    <t>IQ - CAA</t>
  </si>
  <si>
    <t>IQ - Single Family</t>
  </si>
  <si>
    <t>IQ - Single Family Joint Utility</t>
  </si>
  <si>
    <t>IQ - Multifamily</t>
  </si>
  <si>
    <t>IQ - Retail Products Online Marketplace</t>
  </si>
  <si>
    <t>IQ - Retail Products POP</t>
  </si>
  <si>
    <t>IQ - Community Kits</t>
  </si>
  <si>
    <t>IQ - Smart Savers</t>
  </si>
  <si>
    <t>IQ - Electrification</t>
  </si>
  <si>
    <t>IQ - Mobile Homes</t>
  </si>
  <si>
    <t>IQ - Healthier Homes</t>
  </si>
  <si>
    <t>Income Qualified Programs Subtotal</t>
  </si>
  <si>
    <t>Third Party Programs (Section 8-103B - Beginning in 2019)</t>
  </si>
  <si>
    <t>Third Party Programs (Section 8-103B - Beginning in 2019) Subtotal</t>
  </si>
  <si>
    <t>BTU Conversion for Alternate Fuels</t>
  </si>
  <si>
    <t>Voltage Opimization</t>
  </si>
  <si>
    <t>Overall Total [Ameren Illinois] Section 8-103B/8-104 (EEPS) Programs</t>
  </si>
  <si>
    <t>Footnotes:</t>
  </si>
  <si>
    <t>*Original Plan Budget refers to the budget contained in the approved EE Plan, which could be the original filed EE Plan or a compliance EE Plan.</t>
  </si>
  <si>
    <t>**Approved Budget refers to the Program Administrator's current budget for this Program Year, that may have been modified in light of the flexibility policy. This may also be the Implementation Plan Budget.</t>
  </si>
  <si>
    <t xml:space="preserve">***The Approved Net Energy Savings Goal refers to the most updated portfolio-level savings goal. In the case of Section 8-104 programs, the values in this column should match the Adjusted Energy Savings Goal contained in the Program Administrator's updated Adjustable Savings Goal Template. </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</si>
  <si>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</si>
  <si>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Tab 2: Costs</t>
  </si>
  <si>
    <t>Final (updated 10-18-18)</t>
  </si>
  <si>
    <r>
      <t xml:space="preserve">Instructions:
</t>
    </r>
    <r>
      <rPr>
        <sz val="11"/>
        <color theme="1"/>
        <rFont val="Century Gothic"/>
        <family val="2"/>
      </rPr>
      <t>*For Program and Portfolio-Level Costs, each Program Administrator should include actual costs incurred from the beginning of the Program Year through the end of the applicable quarter, regardless of what Program Year the costs are associated with. 
*Program Administrators should add a footnote specifying if there are non-rider energy efficiency costs that are not reported in the Quarterly Reports.</t>
    </r>
  </si>
  <si>
    <t>[Ameren Illinois] Section 8-103B/8-104 (EEPS) Costs [PY2026 Q1]</t>
  </si>
  <si>
    <t>Section 8-103B/8-104 (EEPS) Cost Category</t>
  </si>
  <si>
    <t xml:space="preserve"> 2026
Actual Electric Costs YTD</t>
  </si>
  <si>
    <t xml:space="preserve"> 2026
Actual Gas Costs YTD</t>
  </si>
  <si>
    <t xml:space="preserve"> 2026
Total Actual Costs YTD</t>
  </si>
  <si>
    <t>Program Costs by Sector</t>
  </si>
  <si>
    <t>C&amp;I Programs (Private Sector)</t>
  </si>
  <si>
    <t xml:space="preserve">Public Sector Programs </t>
  </si>
  <si>
    <t>Third Party Programs (Beginning in 2019)</t>
  </si>
  <si>
    <t>Total [Ameren Illinois] Program Costs</t>
  </si>
  <si>
    <t>Portfolio-Level Costs by Portfolio Cost Category (Section 8-103B/8-104 EEPS)</t>
  </si>
  <si>
    <t>Market Development Initiative</t>
  </si>
  <si>
    <t>Evaluation Costs</t>
  </si>
  <si>
    <t>Marketing Costs (including Education and Outreach)</t>
  </si>
  <si>
    <t xml:space="preserve">Portfolio Administrative Costs </t>
  </si>
  <si>
    <t>Total [Ameren Illinois] Portfolio-Level Costs</t>
  </si>
  <si>
    <t>Total [Ameren Illinois] Program and Portfolio-Level Section 8-103B/8-104 (EEPS) Costs</t>
  </si>
  <si>
    <t>[Ameren Illinois] Section 8-103B/8-104 (EEPS) Costs  [PY2026 Q1]</t>
  </si>
  <si>
    <t>Overall Total Costs</t>
  </si>
  <si>
    <t>2026
Approved Budget</t>
  </si>
  <si>
    <t>Tab 3: Historical Energy Saved</t>
  </si>
  <si>
    <r>
      <t xml:space="preserve">Instructions:
</t>
    </r>
    <r>
      <rPr>
        <sz val="11"/>
        <color theme="1"/>
        <rFont val="Century Gothic"/>
        <family val="2"/>
      </rPr>
      <t>*Each Program Administrator will fill out the historical "Energy Saved" table for Quarterly Reports. The "IL Department of Commerce Energy Saved" historical table may also be added to each utility's Quarterly Report.
*Program Administrators are encouraged to provide source references for greater transparency.</t>
    </r>
  </si>
  <si>
    <t>[Ameren Illinois] Section 8-103B/8-104 (EEPS) Energy Saved (MWh or therms) as of [PY2026 Q1]</t>
  </si>
  <si>
    <t xml:space="preserve">IL Department of Commerce and Economic Opportunity Energy Saved (MWh and/or therms) </t>
  </si>
  <si>
    <r>
      <rPr>
        <b/>
        <sz val="11"/>
        <color rgb="FF00B050"/>
        <rFont val="Century Gothic"/>
        <family val="2"/>
      </rPr>
      <t>Electric</t>
    </r>
    <r>
      <rPr>
        <sz val="11"/>
        <rFont val="Century Gothic"/>
        <family val="2"/>
      </rPr>
      <t xml:space="preserve"> Portfolio</t>
    </r>
  </si>
  <si>
    <r>
      <rPr>
        <b/>
        <sz val="11"/>
        <color rgb="FF00B0F0"/>
        <rFont val="Century Gothic"/>
        <family val="2"/>
      </rPr>
      <t>Gas</t>
    </r>
    <r>
      <rPr>
        <sz val="11"/>
        <rFont val="Century Gothic"/>
        <family val="2"/>
      </rPr>
      <t xml:space="preserve"> Portfolio</t>
    </r>
  </si>
  <si>
    <t>Program Year</t>
  </si>
  <si>
    <t>Evaluation Status
(Ex Ante, Verified***, or ICC Approved)</t>
  </si>
  <si>
    <t>Net Energy Savings Achieved
(MWh)</t>
  </si>
  <si>
    <t>Original Plan Savings Goal** (MWh)</t>
  </si>
  <si>
    <t>Net Energy Savings Goal* (MWh)</t>
  </si>
  <si>
    <t>% of Net Energy Savings Goal Achieved</t>
  </si>
  <si>
    <t>Net Energy Savings Achieved
(Therms)</t>
  </si>
  <si>
    <t>Original Plan Savings Goal** (Therms)</t>
  </si>
  <si>
    <t>Net Energy Savings Goal* (Therms)</t>
  </si>
  <si>
    <t>Department</t>
  </si>
  <si>
    <t>PY1</t>
  </si>
  <si>
    <t>PY2</t>
  </si>
  <si>
    <t>PY3</t>
  </si>
  <si>
    <t>PY4</t>
  </si>
  <si>
    <t>PY5</t>
  </si>
  <si>
    <t>PY6</t>
  </si>
  <si>
    <t>PY7</t>
  </si>
  <si>
    <t>PY8</t>
  </si>
  <si>
    <t>PY9</t>
  </si>
  <si>
    <t>Transition Period</t>
  </si>
  <si>
    <t>PY1
 6/1/08-5/31/09</t>
  </si>
  <si>
    <t>ICC Approved</t>
  </si>
  <si>
    <t>NA</t>
  </si>
  <si>
    <t>Net Savings Achieved (MWh)</t>
  </si>
  <si>
    <t>PY2
 6/1/09-5/31/10</t>
  </si>
  <si>
    <t>Evaluation Status (Ex Ante, Verified**, or ICC Approved)</t>
  </si>
  <si>
    <t>Verified</t>
  </si>
  <si>
    <t>PY3
 6/1/10-5/31/11</t>
  </si>
  <si>
    <t>Source</t>
  </si>
  <si>
    <t>AIU PY1 Portfolio Cost-Effectiveness Evaluation (2009-12-30), p. 5.</t>
  </si>
  <si>
    <t>Docket 10-0520, Staff Ex. 1.1, p. 12 (Navigant Memo, DCEO PY2 Energy Impact Summary (2011-09-21)).</t>
  </si>
  <si>
    <t>Docket 11-0592.</t>
  </si>
  <si>
    <t>Docket 14-0594.</t>
  </si>
  <si>
    <t>Docket 14-0595.</t>
  </si>
  <si>
    <t>Docket 15-0296.</t>
  </si>
  <si>
    <t>EPY7/GPY4 DCEO Cost Effectiveness Summary Report, p. 7.</t>
  </si>
  <si>
    <t>https://www.icc.illinois.gov/downloads/public/edocket/501631.pdf</t>
  </si>
  <si>
    <t>Plan 1 Total</t>
  </si>
  <si>
    <t>PY4 
6/1/11-5/31/12</t>
  </si>
  <si>
    <t>PY5 
6/1/12-5/31/13</t>
  </si>
  <si>
    <t>PY6 
6/1/13-5/31/14</t>
  </si>
  <si>
    <t>Net Savings Achieved (Therms)</t>
  </si>
  <si>
    <t>Plan 2 Total</t>
  </si>
  <si>
    <t>PY7 
6/1/14-5/31/15</t>
  </si>
  <si>
    <t>PY8 
6/1/15-5/31/16</t>
  </si>
  <si>
    <t>PY9 
6/1/16-5/31/17</t>
  </si>
  <si>
    <t>Transition Period 
6/1/17-12/31/17</t>
  </si>
  <si>
    <t>*Electric Program Year 9 (EPY9) and Gas Program Year 6 (GPY6) covers energy efficiency programs offered from June 1, 2016 to May 31, 2017.</t>
  </si>
  <si>
    <t>Plan 3 Total</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</si>
  <si>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</si>
  <si>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2018-2021 Plan Total</t>
  </si>
  <si>
    <t>Ex-Ante</t>
  </si>
  <si>
    <t>2022-2025 Plan Total</t>
  </si>
  <si>
    <t>Ex Ante</t>
  </si>
  <si>
    <t>*Net Energy Savings Goal refers to the most updated portfolio-level savings goal. In the case of Section 8-104 programs, the values in this column should match the Adjusted Energy Savings Goal contained in the Program Administrator's updated Adjustable Savings Goal Template.</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</si>
  <si>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</si>
  <si>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</si>
  <si>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Tab 4: Historical Other - Environmental and Economic Impacts</t>
  </si>
  <si>
    <r>
      <rPr>
        <b/>
        <sz val="11"/>
        <color theme="1"/>
        <rFont val="Century Gothic"/>
        <family val="2"/>
      </rPr>
      <t>Instructions:</t>
    </r>
    <r>
      <rPr>
        <sz val="11"/>
        <color theme="1"/>
        <rFont val="Century Gothic"/>
        <family val="2"/>
      </rPr>
      <t xml:space="preserve">
*Each Program Administrator should complete the Environmental and Economic Impacts table for Quarterly Reports.
*Each Program Administrator should include a footnote to explain how performance metrics are derived (for example: the calculation for "Direct Portfolio Jobs.")</t>
    </r>
  </si>
  <si>
    <t>Environmental and Economic Impacts for the [Ameren Illinois] Service Territory as of [PY2026 Q1]</t>
  </si>
  <si>
    <r>
      <rPr>
        <b/>
        <sz val="11"/>
        <color rgb="FF00B050"/>
        <rFont val="Century Gothic"/>
        <family val="2"/>
      </rPr>
      <t>Electric</t>
    </r>
    <r>
      <rPr>
        <b/>
        <sz val="11"/>
        <color theme="0"/>
        <rFont val="Century Gothic"/>
        <family val="2"/>
      </rPr>
      <t xml:space="preserve"> Portfolio Performance Metrics (Equivalents)*</t>
    </r>
  </si>
  <si>
    <t>Net Energy Savings Achieved (MWh or therms)**</t>
  </si>
  <si>
    <t>Carbon reduction (tons)</t>
  </si>
  <si>
    <t>Passenger vehicles driven for one year</t>
  </si>
  <si>
    <t>Acres of U.S. forests in one year</t>
  </si>
  <si>
    <t>Homes energy use for one year</t>
  </si>
  <si>
    <t>Direct Portfolio Jobs*****</t>
  </si>
  <si>
    <t>TBD</t>
  </si>
  <si>
    <t>See Below</t>
  </si>
  <si>
    <t>Income qualified homes served***</t>
  </si>
  <si>
    <r>
      <rPr>
        <b/>
        <sz val="11"/>
        <color rgb="FF00B0F0"/>
        <rFont val="Century Gothic"/>
        <family val="2"/>
      </rPr>
      <t>Gas</t>
    </r>
    <r>
      <rPr>
        <b/>
        <sz val="11"/>
        <color theme="0"/>
        <rFont val="Century Gothic"/>
        <family val="2"/>
      </rPr>
      <t xml:space="preserve"> Portfolio Performance Metrics (Equivalents)*</t>
    </r>
  </si>
  <si>
    <t>Total Performance Metrics (Equivalents)*</t>
  </si>
  <si>
    <t>*Unless otherwise noted, performance metrics for carbon reduction, cars removed from the road, and acres of trees planted are derived from the U.S. EPA Greenhouse Gas Equivalencies Calculator: https://www.epa.gov/energy/greenhouse-gas-equivalencies-calculator</t>
  </si>
  <si>
    <t>**This includes Sections 8-103, 8-103B, 8-104, and 16-111.5B savings achieved.  In addition, this includes Illinois Department of Commerce and Economic Opportunity program savings achieved through May 31, 2017.</t>
  </si>
  <si>
    <t>***To the extent the portfolio offers a low income program and tracks participation. Low income customers were previously served by the IL Department of Commerce and Economic Opportunity until May 31, 2017. Utilities began serving both low income and public sector customers on June 1, 2017.</t>
  </si>
  <si>
    <r>
      <t xml:space="preserve">****Electric Program Year 9 (EPY9) and Gas Program Year 6 (GPY6) covers energy efficiency programs offered from June 1, 2016 to December 31, 2017. </t>
    </r>
    <r>
      <rPr>
        <b/>
        <sz val="10"/>
        <color theme="1"/>
        <rFont val="Century Gothic"/>
        <family val="2"/>
      </rPr>
      <t>IQ homes served initiatives (school kits, direct install and full comprehensive retrofit) contain measures that provide both electric and gas savings.  Therefore, AIC is reporting IQ homes served as a total. See quarterly report narrative for detailed breakout of IQ homes served.</t>
    </r>
  </si>
  <si>
    <t>*****Direct Portfolio Jobs will be updated at least once per year.</t>
  </si>
  <si>
    <t>Tab 5: CPAS Progress</t>
  </si>
  <si>
    <r>
      <rPr>
        <b/>
        <sz val="11"/>
        <color theme="1"/>
        <rFont val="Century Gothic"/>
        <family val="2"/>
      </rPr>
      <t>Instructions:</t>
    </r>
    <r>
      <rPr>
        <sz val="11"/>
        <color theme="1"/>
        <rFont val="Century Gothic"/>
        <family val="2"/>
      </rPr>
      <t xml:space="preserve">
*The electric utilities Ameren Illinois and ComEd should complete the CPAS and AAIG Progress Ex Ante Results table in Quarterly Reports.</t>
    </r>
  </si>
  <si>
    <t>Color Coded Key:</t>
  </si>
  <si>
    <t>Reported items</t>
  </si>
  <si>
    <t>Statutory and/or approved plan inputs</t>
  </si>
  <si>
    <t>Calculations</t>
  </si>
  <si>
    <t>[Ameren Illinois] CPAS and AAIG Progress Ex Ante Results - Section 8-103B Portfolio [PY2026 Q1]</t>
  </si>
  <si>
    <t>Cumulative Persisting Annual Savings (CPAS) Goal Progress [PY2026 Q1]</t>
  </si>
  <si>
    <t>a</t>
  </si>
  <si>
    <t>Current Year CPAS Goal (% of Eligible 2014-2016 Average Annual Sales)</t>
  </si>
  <si>
    <t>ICC approved plan compliance filing</t>
  </si>
  <si>
    <t>b</t>
  </si>
  <si>
    <t>Baseline - 2014-2016 Average Annual Sales Less Exempt Customers (MWh)</t>
  </si>
  <si>
    <t>c</t>
  </si>
  <si>
    <t>Current Year CPAS Goal (MWh)</t>
  </si>
  <si>
    <t>= a * b</t>
  </si>
  <si>
    <t>d</t>
  </si>
  <si>
    <t>CPAS Achieved at End of Previous Year (MWh)</t>
  </si>
  <si>
    <t>verification report for previous year</t>
  </si>
  <si>
    <t>Savings Expiring in Current Year</t>
  </si>
  <si>
    <t>e</t>
  </si>
  <si>
    <t>2012-2017 Legacy Savings Persisting in Current Year (MWh)</t>
  </si>
  <si>
    <t>statute</t>
  </si>
  <si>
    <t>f</t>
  </si>
  <si>
    <t>2012-2017 Legacy Savings Persisting in Previous Year (MWh)</t>
  </si>
  <si>
    <t>g</t>
  </si>
  <si>
    <t>2012-2017 Legacy Savings Expiring in Current Year (% of Sales)</t>
  </si>
  <si>
    <t>= e / b</t>
  </si>
  <si>
    <t>h</t>
  </si>
  <si>
    <t>2012-2017 Legacy Savings Expiring in Current Year (MWh)</t>
  </si>
  <si>
    <t>= f - e</t>
  </si>
  <si>
    <t>i</t>
  </si>
  <si>
    <t>Savings from Measures Installed post-2017 Expiring in Current Year (MWh)</t>
  </si>
  <si>
    <t>j</t>
  </si>
  <si>
    <t>Total Savings Expiring in Current Year (MWh)</t>
  </si>
  <si>
    <t>= h + i</t>
  </si>
  <si>
    <t>k</t>
  </si>
  <si>
    <t>New Annual Savings Needed to Meet Current Year CPAS Goal (MWh)</t>
  </si>
  <si>
    <t>= c - d + j</t>
  </si>
  <si>
    <t>l</t>
  </si>
  <si>
    <t>New Annual Savings this Quarter (MWh)</t>
  </si>
  <si>
    <t>utility report</t>
  </si>
  <si>
    <t>m</t>
  </si>
  <si>
    <t>New Annual Savings this YTD (MWh)</t>
  </si>
  <si>
    <t>sum of utility reports for all quarters to date</t>
  </si>
  <si>
    <t>n</t>
  </si>
  <si>
    <t>New Annual Savings YTD as % Needed to Meet Current Year CPAS Goal</t>
  </si>
  <si>
    <t>= m / k</t>
  </si>
  <si>
    <t>Applicable Annual Incremental Goal (AAIG) Progress</t>
  </si>
  <si>
    <t>o</t>
  </si>
  <si>
    <t>Previous Year's CPAS Goal (% of Sales)</t>
  </si>
  <si>
    <t>Projected 2025 Achievement for Goal Development</t>
  </si>
  <si>
    <t>p</t>
  </si>
  <si>
    <t>Previous Year's CPAS Goal (MWh)</t>
  </si>
  <si>
    <t>q</t>
  </si>
  <si>
    <t>Current Year Applicable Annual Incremental Goal (MWh)</t>
  </si>
  <si>
    <t>= c - p</t>
  </si>
  <si>
    <t>r</t>
  </si>
  <si>
    <t>New Savings Required to Meet AAIG (MWh)</t>
  </si>
  <si>
    <t>= q + j</t>
  </si>
  <si>
    <t>s</t>
  </si>
  <si>
    <t>New Savings Achieved YTD (MWh)</t>
  </si>
  <si>
    <t>same as "m"</t>
  </si>
  <si>
    <t>t</t>
  </si>
  <si>
    <t>Expiring savings that have to be offset before counting progress towards AAIG (MWh)</t>
  </si>
  <si>
    <t>= j</t>
  </si>
  <si>
    <t>u</t>
  </si>
  <si>
    <t>Progress towards AAIG (after offsetting expiring savings) - MWh YTD</t>
  </si>
  <si>
    <t>= s - t</t>
  </si>
  <si>
    <t>v</t>
  </si>
  <si>
    <t>Progress towards AAIG (after offsetting expiring savings) - % YTD</t>
  </si>
  <si>
    <t>= u / q</t>
  </si>
  <si>
    <t>Tab 6: Historical Costs</t>
  </si>
  <si>
    <r>
      <t xml:space="preserve">Instructions:
</t>
    </r>
    <r>
      <rPr>
        <sz val="11"/>
        <color theme="1"/>
        <rFont val="Century Gothic"/>
        <family val="2"/>
      </rPr>
      <t xml:space="preserve">*Each Program Administrator will fill out the "Historical Energy Efficiency Costs" table for Quarterly Reports. 
*For Costs, each Program Administrator should include actual costs incurred from the beginning of the Program Year through the end of the applicable quarter or Program Year, regardless of what Program Year the costs are associated with. Costs include both Program and Portfolio-Level Costs as well as On-Bill Financing costs.
*Program Administrators should add a footnote specifying if there are non-rider energy efficiency costs that are not reported in the Quarterly Reports.  </t>
    </r>
  </si>
  <si>
    <t>[Ameren Illinois] Service Territory Historical Energy Efficiency Costs as of [PY2026 Q1]</t>
  </si>
  <si>
    <r>
      <rPr>
        <b/>
        <sz val="11"/>
        <color rgb="FF00B050"/>
        <rFont val="Calibri"/>
        <family val="2"/>
        <scheme val="minor"/>
      </rPr>
      <t>Electric</t>
    </r>
    <r>
      <rPr>
        <sz val="11"/>
        <color theme="1"/>
        <rFont val="Calibri"/>
        <family val="2"/>
        <scheme val="minor"/>
      </rPr>
      <t xml:space="preserve"> Costs</t>
    </r>
  </si>
  <si>
    <r>
      <rPr>
        <b/>
        <sz val="11"/>
        <color rgb="FF00B0F0"/>
        <rFont val="Calibri"/>
        <family val="2"/>
        <scheme val="minor"/>
      </rPr>
      <t>Gas</t>
    </r>
    <r>
      <rPr>
        <sz val="11"/>
        <color theme="1"/>
        <rFont val="Calibri"/>
        <family val="2"/>
        <scheme val="minor"/>
      </rPr>
      <t xml:space="preserve"> Costs</t>
    </r>
  </si>
  <si>
    <r>
      <t xml:space="preserve">Total </t>
    </r>
    <r>
      <rPr>
        <b/>
        <sz val="11"/>
        <color rgb="FF00B050"/>
        <rFont val="Calibri"/>
        <family val="2"/>
        <scheme val="minor"/>
      </rPr>
      <t>Electric</t>
    </r>
    <r>
      <rPr>
        <sz val="11"/>
        <color theme="1"/>
        <rFont val="Calibri"/>
        <family val="2"/>
        <scheme val="minor"/>
      </rPr>
      <t xml:space="preserve"> &amp; </t>
    </r>
    <r>
      <rPr>
        <b/>
        <sz val="11"/>
        <color rgb="FF00B0F0"/>
        <rFont val="Calibri"/>
        <family val="2"/>
        <scheme val="minor"/>
      </rPr>
      <t>Gas</t>
    </r>
    <r>
      <rPr>
        <sz val="11"/>
        <color theme="1"/>
        <rFont val="Calibri"/>
        <family val="2"/>
        <scheme val="minor"/>
      </rPr>
      <t xml:space="preserve"> Costs</t>
    </r>
  </si>
  <si>
    <r>
      <t xml:space="preserve">Actual </t>
    </r>
    <r>
      <rPr>
        <b/>
        <sz val="11"/>
        <color rgb="FFFF0000"/>
        <rFont val="Century Gothic"/>
        <family val="2"/>
      </rPr>
      <t>Ameren Illinois</t>
    </r>
    <r>
      <rPr>
        <b/>
        <sz val="11"/>
        <color theme="0"/>
        <rFont val="Century Gothic"/>
        <family val="2"/>
      </rPr>
      <t xml:space="preserve"> EEPS Costs</t>
    </r>
  </si>
  <si>
    <t>Actual DCEO EEPS Costs</t>
  </si>
  <si>
    <r>
      <t>Total Actual EEPS Costs (</t>
    </r>
    <r>
      <rPr>
        <b/>
        <sz val="11"/>
        <color rgb="FFFF0000"/>
        <rFont val="Century Gothic"/>
        <family val="2"/>
      </rPr>
      <t>Ameren Illinois</t>
    </r>
    <r>
      <rPr>
        <b/>
        <sz val="11"/>
        <color theme="0"/>
        <rFont val="Century Gothic"/>
        <family val="2"/>
      </rPr>
      <t xml:space="preserve"> + DCEO + IPA)</t>
    </r>
  </si>
  <si>
    <t>Actual Section 16-111.5B Costs</t>
  </si>
  <si>
    <t>Total Actual EEPS + Section 16-111.5B Costs</t>
  </si>
  <si>
    <t>PY1- 6/1/08-5/31/09</t>
  </si>
  <si>
    <t>PY2- 6/1/09-5/31/10</t>
  </si>
  <si>
    <t>PY3- 6/1/10-5/31/11</t>
  </si>
  <si>
    <t>PY4/GPY1- 6/1/11-5/31/12</t>
  </si>
  <si>
    <t>PY5/GPY2- 6/1/12-5/31/13</t>
  </si>
  <si>
    <t>PY6/GPY3- 6/1/13-5/31/14</t>
  </si>
  <si>
    <t>PY7/GPY4- 6/1/14-5/31/15</t>
  </si>
  <si>
    <t>PY8/GPY5- 6/1/15-5/31/16</t>
  </si>
  <si>
    <t>PY9/GPY6 &amp; Transition Period - 6/1/16-12/31/17</t>
  </si>
  <si>
    <r>
      <t xml:space="preserve">Actual </t>
    </r>
    <r>
      <rPr>
        <b/>
        <sz val="11"/>
        <color rgb="FFFF0000"/>
        <rFont val="Century Gothic"/>
        <family val="2"/>
      </rPr>
      <t>Ameren Illinois</t>
    </r>
    <r>
      <rPr>
        <b/>
        <sz val="11"/>
        <color theme="0"/>
        <rFont val="Century Gothic"/>
        <family val="2"/>
      </rPr>
      <t xml:space="preserve"> EEPS Costs YTD</t>
    </r>
  </si>
  <si>
    <r>
      <t xml:space="preserve">Approved </t>
    </r>
    <r>
      <rPr>
        <b/>
        <sz val="11"/>
        <color rgb="FFFF0000"/>
        <rFont val="Century Gothic"/>
        <family val="2"/>
      </rPr>
      <t>Ameren Illinois</t>
    </r>
    <r>
      <rPr>
        <b/>
        <sz val="11"/>
        <color theme="0"/>
        <rFont val="Century Gothic"/>
        <family val="2"/>
      </rPr>
      <t xml:space="preserve"> EEPS Budget</t>
    </r>
  </si>
  <si>
    <t>2026-2029 Plan Total</t>
  </si>
  <si>
    <t xml:space="preserve">  </t>
  </si>
  <si>
    <t>Quarterly Report Template</t>
  </si>
  <si>
    <t>Tab 7a: Workforce Equity - Program Ally and Supplier Spend</t>
  </si>
  <si>
    <t>Final (template created by Ameren Illinois March 31, 2026)</t>
  </si>
  <si>
    <t xml:space="preserve"> </t>
  </si>
  <si>
    <t>Notes:</t>
  </si>
  <si>
    <t>* The information provided is pursuant to:</t>
  </si>
  <si>
    <t>- Illinois Energy Efficiency Policy Manual Section 6.5 Program Administrator Quarterly Template Reports and Semi-Annual Narrative</t>
  </si>
  <si>
    <t>• Quarterly template reports may also contain the following information:</t>
  </si>
  <si>
    <t>&gt; If applicable, any current or planned activities or investments to develop, support and grow a diverse and inclusive Energy Efficiency workforce.</t>
  </si>
  <si>
    <t>- Illinois Public Utilities Act 220 ILCS 5/8-103B(g)</t>
  </si>
  <si>
    <t>• (9.5) The utility must demonstrate how it will ensure that program implementation contractors and energy efficiency installation vendors will promote workforce equity and quality jobs.</t>
  </si>
  <si>
    <t>• (9.6) Utilities shall collect data necessary to ensure compliance with paragraph (9.5) no less than quarterly and shall communicate progress toward compliance with paragraph (9.5) to program implementation contractors and energy efficiency installation vendors no less than quarterly.</t>
  </si>
  <si>
    <t>* Ameren Illinois has compiled and is providing this information as required by Illinois Law, pursuant to 220 ILCS 5/8-103B.</t>
  </si>
  <si>
    <t>* Data presented on this tab is based on preliminary results and is subject to revision.</t>
  </si>
  <si>
    <r>
      <rPr>
        <b/>
        <sz val="11"/>
        <color rgb="FF000000"/>
        <rFont val="Century Gothic"/>
      </rPr>
      <t xml:space="preserve">Note: 
</t>
    </r>
    <r>
      <rPr>
        <sz val="11"/>
        <color rgb="FF000000"/>
        <rFont val="Century Gothic"/>
      </rPr>
      <t xml:space="preserve">    </t>
    </r>
    <r>
      <rPr>
        <b/>
        <sz val="11"/>
        <color rgb="FF000000"/>
        <rFont val="Century Gothic"/>
      </rPr>
      <t xml:space="preserve"> * </t>
    </r>
    <r>
      <rPr>
        <sz val="11"/>
        <color rgb="FF000000"/>
        <rFont val="Century Gothic"/>
      </rPr>
      <t xml:space="preserve">3 Program Allies serve in both the Residential &amp; Business Programs. 
     </t>
    </r>
    <r>
      <rPr>
        <b/>
        <sz val="11"/>
        <color rgb="FF000000"/>
        <rFont val="Century Gothic"/>
      </rPr>
      <t xml:space="preserve">* </t>
    </r>
    <r>
      <rPr>
        <sz val="11"/>
        <color rgb="FF000000"/>
        <rFont val="Century Gothic"/>
      </rPr>
      <t xml:space="preserve">3 Suppliers serve as both Tier 1 &amp; Tier 2. </t>
    </r>
  </si>
  <si>
    <t>Tab 7b: Workforce Equity - Trade Ally Primary Specialty Table</t>
  </si>
  <si>
    <t>- Illinois Energy Efficiency Policy Manual Section 6.11 Diverse Contracting Reporting Principles</t>
  </si>
  <si>
    <t>• Quarterly template reports, annually for the previous program year</t>
  </si>
  <si>
    <t>&gt; Trade Ally Primary Specialty Table</t>
  </si>
  <si>
    <t xml:space="preserve">The Trade Ally Primary Specialty Table is reported annually in the Quarterly Template Report for Q4. </t>
  </si>
  <si>
    <t>Tab 9: Budget Shifts</t>
  </si>
  <si>
    <t>• Quarterly template reports shall contain the following information for Sections 8-103B and 8-104 programs: Subsection vii.b</t>
  </si>
  <si>
    <t xml:space="preserve">Electric Budget </t>
  </si>
  <si>
    <t xml:space="preserve">Program </t>
  </si>
  <si>
    <t>Initiative</t>
  </si>
  <si>
    <t>Approved EE Plan      2026 *</t>
  </si>
  <si>
    <t>Implementation Plan 
2026 REV00</t>
  </si>
  <si>
    <t>Budget Shift ($)</t>
  </si>
  <si>
    <t>Budget Shift (%)</t>
  </si>
  <si>
    <t>Residential</t>
  </si>
  <si>
    <t>Market Rate Single Family</t>
  </si>
  <si>
    <t>Market Rate Multifamily</t>
  </si>
  <si>
    <t>Retail Products</t>
  </si>
  <si>
    <t xml:space="preserve">Residential Market Transformation </t>
  </si>
  <si>
    <t xml:space="preserve">Income Qualified </t>
  </si>
  <si>
    <t xml:space="preserve">Public Housing </t>
  </si>
  <si>
    <t xml:space="preserve">Residential Subtotal </t>
  </si>
  <si>
    <t xml:space="preserve">Business </t>
  </si>
  <si>
    <t xml:space="preserve">Standard </t>
  </si>
  <si>
    <t>Small Business</t>
  </si>
  <si>
    <t>Midstream</t>
  </si>
  <si>
    <t xml:space="preserve">Retro-Commissioning </t>
  </si>
  <si>
    <t xml:space="preserve">Business Market Transformation </t>
  </si>
  <si>
    <t>Business Subtotal</t>
  </si>
  <si>
    <t>Below 
the 
Line</t>
  </si>
  <si>
    <t>Portfolio Administration</t>
  </si>
  <si>
    <t xml:space="preserve">Evaluation </t>
  </si>
  <si>
    <t>Marketing</t>
  </si>
  <si>
    <t>Market Development Initiative (MDI)</t>
  </si>
  <si>
    <t>Trade Ally Support</t>
  </si>
  <si>
    <t>IRA Support</t>
  </si>
  <si>
    <t>Below the Line Subtotal</t>
  </si>
  <si>
    <t>Portfolio Total</t>
  </si>
  <si>
    <t xml:space="preserve">Gas Budget </t>
  </si>
  <si>
    <t>Approved EE Plan      2026*</t>
  </si>
  <si>
    <t>Tab 8: Low Income Energy Efficiency Accountability Committee (LIEEAC)</t>
  </si>
  <si>
    <t>&gt; If applicable, low income energy efficiency accountability committee reporting, including tracking and reporting on how input from the committee has led to new approaches and changes in Energy Efficiency Portfolios.</t>
  </si>
  <si>
    <t>- Illinois Public Utilities Act 220 ILCS 5/8-103B(c)</t>
  </si>
  <si>
    <t>• Participating utilities shall track and report how input from the committee has led to new approaches and changes in their energy efficiency portfolios. This reporting shall occur at committee meetings and in quarterly energy efficiency reports to the Stakeholder Advisory Group and Illinois Commerce Commission, and other relevant reporting mechanisms</t>
  </si>
  <si>
    <t>LIEEAC UPDATE:</t>
  </si>
  <si>
    <t xml:space="preserve">• The IQ-S Committee officially launched on March 18, with Leadership Team meetings commencing on March 30. First quarter activities focused on reviewing and compiling feedback on the Ameren Illinois draft 2027-2029 EE Plan. </t>
  </si>
  <si>
    <r>
      <t>•  Portfolio Impacts Summary:</t>
    </r>
    <r>
      <rPr>
        <sz val="11"/>
        <color rgb="FF000000"/>
        <rFont val="Calibri"/>
      </rPr>
      <t>  To be provided with the Quarterly Template Report for Q4.</t>
    </r>
  </si>
  <si>
    <t>LIEEAC BUDGET REPORT:</t>
  </si>
  <si>
    <t>* Budgets for the Approved EE Plan are from the Plan Batch Files, adjusted for planned gas conversions for comparison to the Implementation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</si>
</sst>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_);_(* \(#,##0\);_(* &quot;-&quot;???_);_(@_)"/>
    <numFmt numFmtId="167" formatCode="_(* #,##0.0000_);_(* \(#,##0.0000\);_(* &quot;-&quot;??_);_(@_)"/>
    <numFmt numFmtId="168" formatCode="0.0%"/>
    <numFmt numFmtId="169" formatCode="_(* #,##0.000000_);_(* \(#,##0.000000\);_(* &quot;-&quot;??_);_(@_)"/>
  </numFmts>
  <fonts count="58" x14ac:knownFonts="1">
    <font>
      <sz val="11"/>
      <color theme="1"/>
      <name val="Calibri"/>
      <family val="2"/>
      <scheme val="minor"/>
    </font>
    <font>
      <sz val="11"/>
      <color theme="1"/>
      <name val="Calibri"/>
      <family val="2"/>
      <scheme val="minor"/>
    </font>
    <font>
      <sz val="10"/>
      <name val="Century Gothic"/>
      <family val="2"/>
    </font>
    <font>
      <b/>
      <sz val="10"/>
      <name val="Century Gothic"/>
      <family val="2"/>
    </font>
    <font>
      <b/>
      <sz val="10"/>
      <color theme="0"/>
      <name val="Century Gothic"/>
      <family val="2"/>
    </font>
    <font>
      <sz val="11"/>
      <color theme="1"/>
      <name val="Century Gothic"/>
      <family val="2"/>
    </font>
    <font>
      <b/>
      <sz val="11"/>
      <color theme="1"/>
      <name val="Century Gothic"/>
      <family val="2"/>
    </font>
    <font>
      <sz val="10"/>
      <color theme="1"/>
      <name val="Century Gothic"/>
      <family val="2"/>
    </font>
    <font>
      <sz val="11"/>
      <color rgb="FFCC0033"/>
      <name val="Century Gothic"/>
      <family val="2"/>
    </font>
    <font>
      <b/>
      <sz val="11"/>
      <color theme="0"/>
      <name val="Century Gothic"/>
      <family val="2"/>
    </font>
    <font>
      <b/>
      <sz val="10"/>
      <color theme="1"/>
      <name val="Century Gothic"/>
      <family val="2"/>
    </font>
    <font>
      <sz val="11"/>
      <name val="Century Gothic"/>
      <family val="2"/>
    </font>
    <font>
      <b/>
      <sz val="11"/>
      <name val="Century Gothic"/>
      <family val="2"/>
    </font>
    <font>
      <b/>
      <sz val="14"/>
      <color theme="0"/>
      <name val="Arial"/>
      <family val="2"/>
    </font>
    <font>
      <u/>
      <sz val="11"/>
      <color theme="10"/>
      <name val="Calibri"/>
      <family val="2"/>
    </font>
    <font>
      <u/>
      <sz val="10"/>
      <color theme="10"/>
      <name val="Century Gothic"/>
      <family val="2"/>
    </font>
    <font>
      <u/>
      <sz val="11"/>
      <color theme="10"/>
      <name val="Century Gothic"/>
      <family val="2"/>
    </font>
    <font>
      <b/>
      <sz val="10"/>
      <color indexed="9"/>
      <name val="Century Gothic"/>
      <family val="2"/>
    </font>
    <font>
      <sz val="10"/>
      <color theme="1"/>
      <name val="Calibri"/>
      <family val="2"/>
      <scheme val="minor"/>
    </font>
    <font>
      <i/>
      <sz val="10"/>
      <color theme="1"/>
      <name val="Century Gothic"/>
      <family val="2"/>
    </font>
    <font>
      <i/>
      <sz val="10"/>
      <name val="Century Gothic"/>
      <family val="2"/>
    </font>
    <font>
      <b/>
      <i/>
      <sz val="11"/>
      <color rgb="FFFF0000"/>
      <name val="Calibri"/>
      <family val="2"/>
      <scheme val="minor"/>
    </font>
    <font>
      <b/>
      <sz val="12"/>
      <color theme="1"/>
      <name val="Calibri"/>
      <family val="2"/>
      <scheme val="minor"/>
    </font>
    <font>
      <b/>
      <sz val="14"/>
      <color rgb="FF0070C0"/>
      <name val="Calibri"/>
      <family val="2"/>
      <scheme val="minor"/>
    </font>
    <font>
      <b/>
      <sz val="14"/>
      <name val="Calibri"/>
      <family val="2"/>
      <scheme val="minor"/>
    </font>
    <font>
      <b/>
      <i/>
      <sz val="11"/>
      <color theme="1"/>
      <name val="Century Gothic"/>
      <family val="2"/>
    </font>
    <font>
      <b/>
      <sz val="11"/>
      <color rgb="FFFF0000"/>
      <name val="Century Gothic"/>
      <family val="2"/>
    </font>
    <font>
      <i/>
      <sz val="11"/>
      <color theme="1"/>
      <name val="Century Gothic"/>
      <family val="2"/>
    </font>
    <font>
      <b/>
      <sz val="11"/>
      <color theme="1"/>
      <name val="Calibri"/>
      <family val="2"/>
      <scheme val="minor"/>
    </font>
    <font>
      <sz val="11"/>
      <name val="Calibri"/>
      <family val="2"/>
      <scheme val="minor"/>
    </font>
    <font>
      <sz val="10"/>
      <color theme="0" tint="-0.34998626667073579"/>
      <name val="Century Gothic"/>
      <family val="2"/>
    </font>
    <font>
      <sz val="11"/>
      <color theme="0" tint="-0.34998626667073579"/>
      <name val="Calibri"/>
      <family val="2"/>
      <scheme val="minor"/>
    </font>
    <font>
      <b/>
      <sz val="10"/>
      <color theme="0" tint="-0.499984740745262"/>
      <name val="Century Gothic"/>
      <family val="2"/>
    </font>
    <font>
      <b/>
      <sz val="10"/>
      <color rgb="FF00B050"/>
      <name val="Century Gothic"/>
      <family val="2"/>
    </font>
    <font>
      <b/>
      <sz val="10"/>
      <color rgb="FF00B0F0"/>
      <name val="Century Gothic"/>
      <family val="2"/>
    </font>
    <font>
      <b/>
      <sz val="11"/>
      <color rgb="FF00B050"/>
      <name val="Century Gothic"/>
      <family val="2"/>
    </font>
    <font>
      <b/>
      <sz val="11"/>
      <color rgb="FF00B0F0"/>
      <name val="Century Gothic"/>
      <family val="2"/>
    </font>
    <font>
      <b/>
      <sz val="11"/>
      <color rgb="FF00B050"/>
      <name val="Calibri"/>
      <family val="2"/>
      <scheme val="minor"/>
    </font>
    <font>
      <b/>
      <sz val="11"/>
      <color rgb="FF00B0F0"/>
      <name val="Calibri"/>
      <family val="2"/>
      <scheme val="minor"/>
    </font>
    <font>
      <sz val="11"/>
      <color theme="0" tint="-4.9989318521683403E-2"/>
      <name val="Calibri"/>
      <family val="2"/>
      <scheme val="minor"/>
    </font>
    <font>
      <sz val="10"/>
      <color theme="0" tint="-0.14999847407452621"/>
      <name val="Century Gothic"/>
      <family val="2"/>
    </font>
    <font>
      <b/>
      <sz val="10"/>
      <color rgb="FF000000"/>
      <name val="Century Gothic"/>
      <family val="2"/>
    </font>
    <font>
      <sz val="11"/>
      <color theme="1"/>
      <name val="Century Gothic"/>
    </font>
    <font>
      <sz val="11"/>
      <color rgb="FF000000"/>
      <name val="Calibri"/>
    </font>
    <font>
      <sz val="11"/>
      <color theme="1"/>
      <name val="Calibri"/>
      <family val="2"/>
    </font>
    <font>
      <sz val="11"/>
      <color rgb="FF000000"/>
      <name val="Century Gothic"/>
    </font>
    <font>
      <b/>
      <sz val="11"/>
      <color rgb="FFFF0000"/>
      <name val="Calibri"/>
      <family val="2"/>
      <scheme val="minor"/>
    </font>
    <font>
      <b/>
      <sz val="12"/>
      <name val="Calibri"/>
      <family val="2"/>
      <scheme val="minor"/>
    </font>
    <font>
      <b/>
      <sz val="11"/>
      <name val="Calibri"/>
      <family val="2"/>
      <scheme val="minor"/>
    </font>
    <font>
      <b/>
      <sz val="14"/>
      <color theme="0"/>
      <name val="Calibri"/>
      <family val="2"/>
      <scheme val="minor"/>
    </font>
    <font>
      <b/>
      <sz val="11"/>
      <name val="Calibri"/>
      <family val="2"/>
    </font>
    <font>
      <b/>
      <u/>
      <sz val="14"/>
      <color rgb="FF008A00"/>
      <name val="Calibri"/>
      <family val="2"/>
    </font>
    <font>
      <b/>
      <sz val="11"/>
      <color rgb="FF000000"/>
      <name val="Calibri"/>
      <family val="2"/>
    </font>
    <font>
      <i/>
      <sz val="11"/>
      <color rgb="FF008A00"/>
      <name val="Calibri"/>
      <family val="2"/>
      <scheme val="minor"/>
    </font>
    <font>
      <b/>
      <sz val="16"/>
      <color theme="0"/>
      <name val="Calibri"/>
      <family val="2"/>
      <scheme val="minor"/>
    </font>
    <font>
      <sz val="10"/>
      <color theme="0" tint="-0.499984740745262"/>
      <name val="Century Gothic"/>
      <family val="2"/>
    </font>
    <font>
      <sz val="14"/>
      <name val="Calibri"/>
      <family val="2"/>
      <scheme val="minor"/>
    </font>
    <font>
      <b/>
      <sz val="11"/>
      <color rgb="FF000000"/>
      <name val="Century Gothic"/>
    </font>
  </fonts>
  <fills count="19">
    <fill>
      <patternFill patternType="none"/>
    </fill>
    <fill>
      <patternFill patternType="gray125"/>
    </fill>
    <fill>
      <patternFill patternType="solid">
        <fgColor rgb="FF65656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1" tint="0.34998626667073579"/>
        <bgColor indexed="64"/>
      </patternFill>
    </fill>
    <fill>
      <patternFill patternType="solid">
        <fgColor rgb="FFF2F2F2"/>
        <bgColor indexed="64"/>
      </patternFill>
    </fill>
    <fill>
      <patternFill patternType="solid">
        <fgColor rgb="FFA6A6A6"/>
        <bgColor indexed="64"/>
      </patternFill>
    </fill>
    <fill>
      <patternFill patternType="solid">
        <fgColor theme="3" tint="0.79998168889431442"/>
        <bgColor indexed="64"/>
      </patternFill>
    </fill>
    <fill>
      <patternFill patternType="solid">
        <fgColor rgb="FF339933"/>
        <bgColor indexed="64"/>
      </patternFill>
    </fill>
    <fill>
      <patternFill patternType="solid">
        <fgColor rgb="FF008000"/>
        <bgColor indexed="64"/>
      </patternFill>
    </fill>
    <fill>
      <patternFill patternType="solid">
        <fgColor rgb="FFACD498"/>
        <bgColor indexed="64"/>
      </patternFill>
    </fill>
    <fill>
      <patternFill patternType="solid">
        <fgColor rgb="FF266FC0"/>
        <bgColor indexed="64"/>
      </patternFill>
    </fill>
  </fills>
  <borders count="66">
    <border>
      <left/>
      <right/>
      <top/>
      <bottom/>
      <diagonal/>
    </border>
    <border>
      <left style="thin">
        <color indexed="64"/>
      </left>
      <right style="thin">
        <color indexed="64"/>
      </right>
      <top style="thin">
        <color auto="1"/>
      </top>
      <bottom style="thin">
        <color indexed="64"/>
      </bottom>
      <diagonal/>
    </border>
    <border>
      <left/>
      <right/>
      <top/>
      <bottom style="thin">
        <color indexed="64"/>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indexed="64"/>
      </bottom>
      <diagonal/>
    </border>
    <border>
      <left/>
      <right style="medium">
        <color indexed="64"/>
      </right>
      <top style="thin">
        <color auto="1"/>
      </top>
      <bottom style="thin">
        <color indexed="64"/>
      </bottom>
      <diagonal/>
    </border>
    <border>
      <left style="medium">
        <color indexed="64"/>
      </left>
      <right style="thin">
        <color indexed="64"/>
      </right>
      <top style="thin">
        <color auto="1"/>
      </top>
      <bottom style="thin">
        <color indexed="64"/>
      </bottom>
      <diagonal/>
    </border>
    <border>
      <left style="thin">
        <color indexed="64"/>
      </left>
      <right style="medium">
        <color indexed="64"/>
      </right>
      <top style="thin">
        <color auto="1"/>
      </top>
      <bottom style="thin">
        <color indexed="64"/>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thin">
        <color indexed="64"/>
      </left>
      <right style="thin">
        <color indexed="64"/>
      </right>
      <top style="thin">
        <color auto="1"/>
      </top>
      <bottom/>
      <diagonal/>
    </border>
    <border>
      <left/>
      <right style="thin">
        <color indexed="64"/>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style="thin">
        <color indexed="64"/>
      </left>
      <right style="thin">
        <color indexed="64"/>
      </right>
      <top style="thin">
        <color auto="1"/>
      </top>
      <bottom style="medium">
        <color rgb="FF000000"/>
      </bottom>
      <diagonal/>
    </border>
    <border>
      <left style="thin">
        <color indexed="64"/>
      </left>
      <right style="medium">
        <color rgb="FF000000"/>
      </right>
      <top style="thin">
        <color auto="1"/>
      </top>
      <bottom style="medium">
        <color indexed="64"/>
      </bottom>
      <diagonal/>
    </border>
    <border>
      <left style="thin">
        <color indexed="64"/>
      </left>
      <right style="medium">
        <color rgb="FF000000"/>
      </right>
      <top style="thin">
        <color auto="1"/>
      </top>
      <bottom style="thin">
        <color indexed="64"/>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alignment vertical="top"/>
      <protection locked="0"/>
    </xf>
    <xf numFmtId="9" fontId="1" fillId="0" borderId="0" applyFont="0" applyFill="0" applyBorder="0" applyAlignment="0" applyProtection="0"/>
  </cellStyleXfs>
  <cellXfs count="504">
    <xf numFmtId="0" fontId="0" fillId="0" borderId="0" xfId="0"/>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0" fillId="3" borderId="1" xfId="0" applyFont="1" applyFill="1" applyBorder="1" applyAlignment="1">
      <alignment vertical="center"/>
    </xf>
    <xf numFmtId="0" fontId="5" fillId="7" borderId="1" xfId="0" quotePrefix="1" applyFont="1" applyFill="1" applyBorder="1" applyAlignment="1">
      <alignment vertical="center"/>
    </xf>
    <xf numFmtId="0" fontId="5" fillId="9" borderId="1" xfId="0" applyFont="1" applyFill="1" applyBorder="1" applyAlignment="1">
      <alignment vertical="center"/>
    </xf>
    <xf numFmtId="0" fontId="5" fillId="8" borderId="1" xfId="0" applyFont="1" applyFill="1" applyBorder="1" applyAlignment="1">
      <alignment vertical="center"/>
    </xf>
    <xf numFmtId="0" fontId="17" fillId="2" borderId="13" xfId="0" applyFont="1" applyFill="1" applyBorder="1" applyAlignment="1">
      <alignment horizontal="center" vertical="center" wrapText="1"/>
    </xf>
    <xf numFmtId="10" fontId="3" fillId="6" borderId="22" xfId="4" applyNumberFormat="1" applyFont="1" applyFill="1" applyBorder="1" applyAlignment="1">
      <alignment horizontal="center"/>
    </xf>
    <xf numFmtId="10" fontId="4" fillId="5" borderId="25" xfId="4" applyNumberFormat="1" applyFont="1" applyFill="1" applyBorder="1" applyAlignment="1">
      <alignment horizontal="center" vertical="center"/>
    </xf>
    <xf numFmtId="10" fontId="4" fillId="6" borderId="22" xfId="4" applyNumberFormat="1" applyFont="1" applyFill="1" applyBorder="1" applyAlignment="1">
      <alignment horizontal="center"/>
    </xf>
    <xf numFmtId="44" fontId="3" fillId="6" borderId="1" xfId="2" applyFont="1" applyFill="1" applyBorder="1" applyAlignment="1">
      <alignment horizontal="center"/>
    </xf>
    <xf numFmtId="44" fontId="4" fillId="6" borderId="1" xfId="2" applyFont="1" applyFill="1" applyBorder="1" applyAlignment="1">
      <alignment horizontal="center"/>
    </xf>
    <xf numFmtId="0" fontId="4" fillId="2" borderId="26" xfId="0" applyFont="1" applyFill="1" applyBorder="1" applyAlignment="1">
      <alignment horizontal="center" vertical="center"/>
    </xf>
    <xf numFmtId="0" fontId="4" fillId="2" borderId="26" xfId="0" applyFont="1" applyFill="1" applyBorder="1" applyAlignment="1">
      <alignment horizontal="center" vertical="center" wrapText="1"/>
    </xf>
    <xf numFmtId="0" fontId="10" fillId="3" borderId="26" xfId="0" applyFont="1" applyFill="1" applyBorder="1" applyAlignment="1">
      <alignment vertical="center"/>
    </xf>
    <xf numFmtId="44" fontId="10" fillId="3" borderId="26" xfId="2" applyFont="1" applyFill="1" applyBorder="1" applyAlignment="1">
      <alignment vertical="center"/>
    </xf>
    <xf numFmtId="44" fontId="10" fillId="3" borderId="1" xfId="2" applyFont="1" applyFill="1" applyBorder="1" applyAlignment="1">
      <alignment vertical="center"/>
    </xf>
    <xf numFmtId="0" fontId="9" fillId="2" borderId="29"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2" fillId="4" borderId="32" xfId="0" applyFont="1" applyFill="1" applyBorder="1" applyAlignment="1">
      <alignment horizontal="center" vertical="center" wrapText="1"/>
    </xf>
    <xf numFmtId="0" fontId="11" fillId="0" borderId="32" xfId="0" applyFont="1" applyBorder="1" applyAlignment="1">
      <alignment horizontal="center" vertical="center"/>
    </xf>
    <xf numFmtId="0" fontId="12" fillId="4" borderId="33" xfId="0" applyFont="1" applyFill="1" applyBorder="1" applyAlignment="1">
      <alignment horizontal="center" vertical="center" wrapText="1"/>
    </xf>
    <xf numFmtId="0" fontId="11" fillId="0" borderId="34" xfId="0" applyFont="1" applyBorder="1" applyAlignment="1">
      <alignment horizontal="center" vertical="center"/>
    </xf>
    <xf numFmtId="3" fontId="5" fillId="0" borderId="29" xfId="0" applyNumberFormat="1" applyFont="1" applyBorder="1" applyAlignment="1">
      <alignment horizontal="center" vertical="center"/>
    </xf>
    <xf numFmtId="10" fontId="5" fillId="0" borderId="30" xfId="0" applyNumberFormat="1" applyFont="1" applyBorder="1" applyAlignment="1">
      <alignment horizontal="center" vertical="center"/>
    </xf>
    <xf numFmtId="0" fontId="11" fillId="0" borderId="10" xfId="0" applyFont="1" applyBorder="1" applyAlignment="1">
      <alignment horizontal="center" vertical="center"/>
    </xf>
    <xf numFmtId="3" fontId="5" fillId="0" borderId="1" xfId="0" applyNumberFormat="1" applyFont="1" applyBorder="1" applyAlignment="1">
      <alignment horizontal="center" vertical="center"/>
    </xf>
    <xf numFmtId="10" fontId="5" fillId="0" borderId="22" xfId="0" applyNumberFormat="1" applyFont="1" applyBorder="1" applyAlignment="1">
      <alignment horizontal="center" vertical="center"/>
    </xf>
    <xf numFmtId="0" fontId="12" fillId="4" borderId="10" xfId="0" applyFont="1" applyFill="1" applyBorder="1" applyAlignment="1">
      <alignment horizontal="center" vertical="center"/>
    </xf>
    <xf numFmtId="3" fontId="6" fillId="4" borderId="1" xfId="0" applyNumberFormat="1" applyFont="1" applyFill="1" applyBorder="1" applyAlignment="1">
      <alignment horizontal="center" vertical="center"/>
    </xf>
    <xf numFmtId="10" fontId="6" fillId="4" borderId="22" xfId="0" applyNumberFormat="1" applyFont="1" applyFill="1" applyBorder="1" applyAlignment="1">
      <alignment horizontal="center" vertical="center"/>
    </xf>
    <xf numFmtId="0" fontId="5" fillId="0" borderId="10" xfId="0" applyFont="1" applyBorder="1" applyAlignment="1">
      <alignment horizontal="center" vertical="center"/>
    </xf>
    <xf numFmtId="0" fontId="12" fillId="4" borderId="27" xfId="0" applyFont="1" applyFill="1" applyBorder="1" applyAlignment="1">
      <alignment horizontal="center" vertical="center"/>
    </xf>
    <xf numFmtId="3" fontId="6" fillId="4" borderId="24" xfId="0" applyNumberFormat="1" applyFont="1" applyFill="1" applyBorder="1" applyAlignment="1">
      <alignment horizontal="center" vertical="center"/>
    </xf>
    <xf numFmtId="10" fontId="6" fillId="4" borderId="25" xfId="0" applyNumberFormat="1" applyFont="1" applyFill="1" applyBorder="1" applyAlignment="1">
      <alignment horizontal="center" vertical="center"/>
    </xf>
    <xf numFmtId="0" fontId="11" fillId="0" borderId="28" xfId="0" applyFont="1" applyBorder="1" applyAlignment="1">
      <alignment horizontal="center" vertical="center"/>
    </xf>
    <xf numFmtId="0" fontId="11" fillId="0" borderId="21" xfId="0" applyFont="1" applyBorder="1" applyAlignment="1">
      <alignment horizontal="center" vertical="center"/>
    </xf>
    <xf numFmtId="0" fontId="12" fillId="4" borderId="21" xfId="0" applyFont="1" applyFill="1" applyBorder="1" applyAlignment="1">
      <alignment horizontal="center" vertical="center"/>
    </xf>
    <xf numFmtId="0" fontId="6" fillId="10" borderId="0" xfId="0" applyFont="1" applyFill="1" applyAlignment="1">
      <alignment vertical="center"/>
    </xf>
    <xf numFmtId="0" fontId="0" fillId="10" borderId="0" xfId="0" applyFill="1"/>
    <xf numFmtId="0" fontId="6" fillId="10" borderId="0" xfId="0" applyFont="1" applyFill="1"/>
    <xf numFmtId="0" fontId="6" fillId="10" borderId="0" xfId="0" applyFont="1" applyFill="1" applyAlignment="1">
      <alignment horizontal="left" vertical="center" wrapText="1"/>
    </xf>
    <xf numFmtId="0" fontId="0" fillId="10" borderId="0" xfId="0" applyFill="1" applyAlignment="1">
      <alignment vertical="center"/>
    </xf>
    <xf numFmtId="0" fontId="12" fillId="10" borderId="0" xfId="0" applyFont="1" applyFill="1" applyAlignment="1">
      <alignment vertical="center"/>
    </xf>
    <xf numFmtId="0" fontId="13" fillId="10" borderId="0" xfId="0" applyFont="1" applyFill="1"/>
    <xf numFmtId="0" fontId="12" fillId="10" borderId="0" xfId="0" applyFont="1" applyFill="1"/>
    <xf numFmtId="0" fontId="3" fillId="10" borderId="0" xfId="0" applyFont="1" applyFill="1" applyAlignment="1">
      <alignment horizontal="left" vertical="center"/>
    </xf>
    <xf numFmtId="0" fontId="7" fillId="10" borderId="0" xfId="0" applyFont="1" applyFill="1" applyAlignment="1">
      <alignment vertical="top" wrapText="1"/>
    </xf>
    <xf numFmtId="0" fontId="12" fillId="10" borderId="0" xfId="0" applyFont="1" applyFill="1" applyAlignment="1">
      <alignment horizontal="center" vertical="center" wrapText="1"/>
    </xf>
    <xf numFmtId="0" fontId="11" fillId="10" borderId="0" xfId="0" applyFont="1" applyFill="1" applyAlignment="1">
      <alignment horizontal="center"/>
    </xf>
    <xf numFmtId="3" fontId="5" fillId="10" borderId="0" xfId="0" applyNumberFormat="1" applyFont="1" applyFill="1" applyAlignment="1">
      <alignment horizontal="center"/>
    </xf>
    <xf numFmtId="9" fontId="5" fillId="10" borderId="0" xfId="0" applyNumberFormat="1" applyFont="1" applyFill="1" applyAlignment="1">
      <alignment horizontal="center"/>
    </xf>
    <xf numFmtId="0" fontId="2" fillId="10" borderId="0" xfId="0" applyFont="1" applyFill="1" applyAlignment="1">
      <alignment horizontal="left" vertical="center" wrapText="1"/>
    </xf>
    <xf numFmtId="0" fontId="7" fillId="10" borderId="0" xfId="0" applyFont="1" applyFill="1" applyAlignment="1">
      <alignment horizontal="left" vertical="center" wrapText="1"/>
    </xf>
    <xf numFmtId="0" fontId="5" fillId="10" borderId="21" xfId="0" applyFont="1" applyFill="1" applyBorder="1" applyAlignment="1">
      <alignment vertical="center" wrapText="1"/>
    </xf>
    <xf numFmtId="0" fontId="11" fillId="10" borderId="21" xfId="0" applyFont="1" applyFill="1" applyBorder="1" applyAlignment="1">
      <alignment horizontal="center" vertical="center"/>
    </xf>
    <xf numFmtId="165" fontId="5" fillId="10" borderId="1" xfId="1" applyNumberFormat="1" applyFont="1" applyFill="1" applyBorder="1" applyAlignment="1">
      <alignment horizontal="center" vertical="center"/>
    </xf>
    <xf numFmtId="165" fontId="5" fillId="10" borderId="22" xfId="1" applyNumberFormat="1" applyFont="1" applyFill="1" applyBorder="1" applyAlignment="1">
      <alignment horizontal="center" vertical="center"/>
    </xf>
    <xf numFmtId="0" fontId="5" fillId="10" borderId="23" xfId="0" applyFont="1" applyFill="1" applyBorder="1" applyAlignment="1">
      <alignment vertical="center" wrapText="1"/>
    </xf>
    <xf numFmtId="165" fontId="16" fillId="10" borderId="24" xfId="3" applyNumberFormat="1" applyFont="1" applyFill="1" applyBorder="1" applyAlignment="1" applyProtection="1">
      <alignment vertical="center"/>
    </xf>
    <xf numFmtId="165" fontId="5" fillId="10" borderId="24" xfId="1" applyNumberFormat="1" applyFont="1" applyFill="1" applyBorder="1" applyAlignment="1">
      <alignment vertical="center"/>
    </xf>
    <xf numFmtId="165" fontId="14" fillId="10" borderId="24" xfId="3" applyNumberFormat="1" applyFill="1" applyBorder="1" applyAlignment="1" applyProtection="1">
      <alignment vertical="center"/>
    </xf>
    <xf numFmtId="0" fontId="0" fillId="10" borderId="25" xfId="0" applyFill="1" applyBorder="1"/>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41" xfId="0" applyFont="1" applyFill="1" applyBorder="1" applyAlignment="1">
      <alignment horizontal="center" vertical="center" wrapText="1"/>
    </xf>
    <xf numFmtId="10" fontId="5" fillId="0" borderId="21" xfId="0" applyNumberFormat="1" applyFont="1" applyBorder="1" applyAlignment="1">
      <alignment horizontal="center" vertical="center"/>
    </xf>
    <xf numFmtId="10" fontId="6" fillId="4" borderId="21" xfId="0" applyNumberFormat="1" applyFont="1" applyFill="1" applyBorder="1" applyAlignment="1">
      <alignment horizontal="center" vertical="center"/>
    </xf>
    <xf numFmtId="3" fontId="5" fillId="0" borderId="1" xfId="1" applyNumberFormat="1" applyFont="1" applyFill="1" applyBorder="1" applyAlignment="1">
      <alignment horizontal="center" vertical="center"/>
    </xf>
    <xf numFmtId="165" fontId="6" fillId="4" borderId="1" xfId="1" applyNumberFormat="1" applyFont="1" applyFill="1" applyBorder="1" applyAlignment="1">
      <alignment horizontal="center" vertical="center"/>
    </xf>
    <xf numFmtId="10" fontId="6" fillId="4" borderId="23" xfId="0" applyNumberFormat="1" applyFont="1" applyFill="1" applyBorder="1" applyAlignment="1">
      <alignment horizontal="center" vertical="center"/>
    </xf>
    <xf numFmtId="165" fontId="6" fillId="4" borderId="24" xfId="1" applyNumberFormat="1" applyFont="1" applyFill="1" applyBorder="1" applyAlignment="1">
      <alignment horizontal="center" vertical="center"/>
    </xf>
    <xf numFmtId="0" fontId="5" fillId="10" borderId="17" xfId="0" applyFont="1" applyFill="1" applyBorder="1" applyAlignment="1">
      <alignment vertical="center" wrapText="1"/>
    </xf>
    <xf numFmtId="165" fontId="5" fillId="10" borderId="13" xfId="1" applyNumberFormat="1" applyFont="1" applyFill="1" applyBorder="1"/>
    <xf numFmtId="165" fontId="5" fillId="10" borderId="18" xfId="1" applyNumberFormat="1" applyFont="1" applyFill="1" applyBorder="1"/>
    <xf numFmtId="0" fontId="9" fillId="2" borderId="42" xfId="0" applyFont="1" applyFill="1" applyBorder="1" applyAlignment="1">
      <alignment vertical="center"/>
    </xf>
    <xf numFmtId="0" fontId="9" fillId="2" borderId="43" xfId="0" applyFont="1" applyFill="1" applyBorder="1" applyAlignment="1">
      <alignment horizontal="center" vertical="center"/>
    </xf>
    <xf numFmtId="0" fontId="9" fillId="2" borderId="44" xfId="0" applyFont="1" applyFill="1" applyBorder="1" applyAlignment="1">
      <alignment horizontal="center" vertical="center"/>
    </xf>
    <xf numFmtId="0" fontId="6" fillId="10" borderId="0" xfId="0" applyFont="1" applyFill="1" applyAlignment="1">
      <alignment wrapText="1"/>
    </xf>
    <xf numFmtId="0" fontId="6" fillId="10" borderId="0" xfId="0" applyFont="1" applyFill="1" applyAlignment="1">
      <alignment horizontal="left" vertical="center"/>
    </xf>
    <xf numFmtId="0" fontId="18" fillId="10" borderId="0" xfId="0" applyFont="1" applyFill="1"/>
    <xf numFmtId="0" fontId="28" fillId="10" borderId="0" xfId="0" applyFont="1" applyFill="1"/>
    <xf numFmtId="10" fontId="2" fillId="10" borderId="22" xfId="4" applyNumberFormat="1" applyFont="1" applyFill="1" applyBorder="1" applyAlignment="1">
      <alignment horizontal="center" wrapText="1"/>
    </xf>
    <xf numFmtId="0" fontId="29" fillId="10" borderId="0" xfId="0" applyFont="1" applyFill="1"/>
    <xf numFmtId="10" fontId="2" fillId="10" borderId="22" xfId="4" applyNumberFormat="1" applyFont="1" applyFill="1" applyBorder="1" applyAlignment="1">
      <alignment horizontal="center"/>
    </xf>
    <xf numFmtId="10" fontId="30" fillId="10" borderId="22" xfId="4" applyNumberFormat="1" applyFont="1" applyFill="1" applyBorder="1" applyAlignment="1">
      <alignment horizontal="center"/>
    </xf>
    <xf numFmtId="0" fontId="31" fillId="10" borderId="0" xfId="0" applyFont="1" applyFill="1"/>
    <xf numFmtId="0" fontId="4" fillId="10" borderId="0" xfId="0" applyFont="1" applyFill="1" applyAlignment="1">
      <alignment horizontal="left" vertical="center" wrapText="1"/>
    </xf>
    <xf numFmtId="0" fontId="4" fillId="10" borderId="0" xfId="0" applyFont="1" applyFill="1" applyAlignment="1">
      <alignment horizontal="left" wrapText="1"/>
    </xf>
    <xf numFmtId="3" fontId="4" fillId="10" borderId="0" xfId="1" applyNumberFormat="1" applyFont="1" applyFill="1" applyBorder="1" applyAlignment="1">
      <alignment horizontal="center" vertical="center"/>
    </xf>
    <xf numFmtId="3" fontId="4" fillId="10" borderId="0" xfId="1" applyNumberFormat="1" applyFont="1" applyFill="1" applyBorder="1" applyAlignment="1">
      <alignment horizontal="center"/>
    </xf>
    <xf numFmtId="9" fontId="4" fillId="10" borderId="0" xfId="0" applyNumberFormat="1" applyFont="1" applyFill="1" applyAlignment="1">
      <alignment horizontal="center"/>
    </xf>
    <xf numFmtId="164" fontId="4" fillId="10" borderId="0" xfId="0" applyNumberFormat="1" applyFont="1" applyFill="1"/>
    <xf numFmtId="37" fontId="4" fillId="10" borderId="0" xfId="1" applyNumberFormat="1" applyFont="1" applyFill="1" applyBorder="1" applyAlignment="1">
      <alignment horizontal="center"/>
    </xf>
    <xf numFmtId="0" fontId="3" fillId="10" borderId="0" xfId="0" applyFont="1" applyFill="1" applyAlignment="1">
      <alignment horizontal="left" wrapText="1"/>
    </xf>
    <xf numFmtId="0" fontId="0" fillId="10" borderId="0" xfId="0" applyFill="1" applyAlignment="1">
      <alignment horizontal="center"/>
    </xf>
    <xf numFmtId="10" fontId="3" fillId="12" borderId="20" xfId="4" applyNumberFormat="1" applyFont="1" applyFill="1" applyBorder="1" applyAlignment="1">
      <alignment vertical="center" wrapText="1"/>
    </xf>
    <xf numFmtId="44" fontId="3" fillId="12" borderId="9" xfId="2" applyFont="1" applyFill="1" applyBorder="1" applyAlignment="1">
      <alignment vertical="center" wrapText="1"/>
    </xf>
    <xf numFmtId="0" fontId="3" fillId="12" borderId="19" xfId="0" applyFont="1" applyFill="1" applyBorder="1" applyAlignment="1">
      <alignment vertical="center" wrapText="1"/>
    </xf>
    <xf numFmtId="0" fontId="3" fillId="12" borderId="9" xfId="0" applyFont="1" applyFill="1" applyBorder="1" applyAlignment="1">
      <alignment vertical="center" wrapText="1"/>
    </xf>
    <xf numFmtId="0" fontId="3" fillId="12" borderId="20" xfId="0" applyFont="1" applyFill="1" applyBorder="1" applyAlignment="1">
      <alignment vertical="center" wrapText="1"/>
    </xf>
    <xf numFmtId="10" fontId="32" fillId="6" borderId="22" xfId="4" applyNumberFormat="1" applyFont="1" applyFill="1" applyBorder="1" applyAlignment="1">
      <alignment horizontal="center"/>
    </xf>
    <xf numFmtId="0" fontId="5" fillId="10" borderId="0" xfId="0" applyFont="1" applyFill="1"/>
    <xf numFmtId="0" fontId="7" fillId="10" borderId="13" xfId="0" applyFont="1" applyFill="1" applyBorder="1" applyAlignment="1">
      <alignment vertical="center"/>
    </xf>
    <xf numFmtId="44" fontId="7" fillId="10" borderId="13" xfId="2" applyFont="1" applyFill="1" applyBorder="1" applyAlignment="1">
      <alignment vertical="center"/>
    </xf>
    <xf numFmtId="0" fontId="7" fillId="10" borderId="1" xfId="0" applyFont="1" applyFill="1" applyBorder="1" applyAlignment="1">
      <alignment vertical="center"/>
    </xf>
    <xf numFmtId="0" fontId="30" fillId="10" borderId="1" xfId="0" applyFont="1" applyFill="1" applyBorder="1" applyAlignment="1">
      <alignment vertical="center"/>
    </xf>
    <xf numFmtId="44" fontId="30" fillId="10" borderId="1" xfId="2" applyFont="1" applyFill="1" applyBorder="1" applyAlignment="1">
      <alignment vertical="center"/>
    </xf>
    <xf numFmtId="44" fontId="30" fillId="10" borderId="13" xfId="2" applyFont="1" applyFill="1" applyBorder="1" applyAlignment="1">
      <alignment vertical="center"/>
    </xf>
    <xf numFmtId="0" fontId="7" fillId="10" borderId="13" xfId="0" applyFont="1" applyFill="1" applyBorder="1" applyAlignment="1">
      <alignment horizontal="left" vertical="center" wrapText="1"/>
    </xf>
    <xf numFmtId="44" fontId="10" fillId="10" borderId="13" xfId="2" applyFont="1" applyFill="1" applyBorder="1" applyAlignment="1">
      <alignment horizontal="left" vertical="center"/>
    </xf>
    <xf numFmtId="0" fontId="7" fillId="10" borderId="1" xfId="0" applyFont="1" applyFill="1" applyBorder="1" applyAlignment="1">
      <alignment vertical="center" wrapText="1"/>
    </xf>
    <xf numFmtId="0" fontId="3" fillId="10" borderId="1" xfId="0" applyFont="1" applyFill="1" applyBorder="1" applyAlignment="1">
      <alignment vertical="center" wrapText="1"/>
    </xf>
    <xf numFmtId="0" fontId="10" fillId="10" borderId="0" xfId="0" applyFont="1" applyFill="1"/>
    <xf numFmtId="0" fontId="4" fillId="10" borderId="0" xfId="0" applyFont="1" applyFill="1" applyAlignment="1">
      <alignment vertical="center" wrapText="1"/>
    </xf>
    <xf numFmtId="44" fontId="3" fillId="10" borderId="1" xfId="2" applyFont="1" applyFill="1" applyBorder="1" applyAlignment="1">
      <alignment vertical="center"/>
    </xf>
    <xf numFmtId="0" fontId="3" fillId="12" borderId="8" xfId="0" applyFont="1" applyFill="1" applyBorder="1" applyAlignment="1">
      <alignment vertical="center"/>
    </xf>
    <xf numFmtId="44" fontId="3" fillId="12" borderId="9" xfId="2" applyFont="1" applyFill="1" applyBorder="1" applyAlignment="1">
      <alignment vertical="center"/>
    </xf>
    <xf numFmtId="44" fontId="3" fillId="12" borderId="10" xfId="2" applyFont="1" applyFill="1" applyBorder="1" applyAlignment="1">
      <alignment vertical="center"/>
    </xf>
    <xf numFmtId="0" fontId="10" fillId="12" borderId="8" xfId="0" applyFont="1" applyFill="1" applyBorder="1" applyAlignment="1">
      <alignment vertical="center" wrapText="1"/>
    </xf>
    <xf numFmtId="44" fontId="10" fillId="12" borderId="9" xfId="2" applyFont="1" applyFill="1" applyBorder="1" applyAlignment="1">
      <alignment vertical="center" wrapText="1"/>
    </xf>
    <xf numFmtId="44" fontId="10" fillId="12" borderId="10" xfId="2" applyFont="1" applyFill="1" applyBorder="1" applyAlignment="1">
      <alignment vertical="center" wrapText="1"/>
    </xf>
    <xf numFmtId="0" fontId="3" fillId="13" borderId="1" xfId="0" applyFont="1" applyFill="1" applyBorder="1" applyAlignment="1">
      <alignment vertical="center" wrapText="1"/>
    </xf>
    <xf numFmtId="44" fontId="4" fillId="13" borderId="1" xfId="2" applyFont="1" applyFill="1" applyBorder="1" applyAlignment="1">
      <alignment vertical="center"/>
    </xf>
    <xf numFmtId="0" fontId="8" fillId="10" borderId="0" xfId="0" applyFont="1" applyFill="1"/>
    <xf numFmtId="0" fontId="4" fillId="10" borderId="0" xfId="0" applyFont="1" applyFill="1"/>
    <xf numFmtId="0" fontId="7" fillId="10" borderId="1" xfId="0" applyFont="1" applyFill="1" applyBorder="1"/>
    <xf numFmtId="0" fontId="2" fillId="10" borderId="1" xfId="0" applyFont="1" applyFill="1" applyBorder="1"/>
    <xf numFmtId="0" fontId="7" fillId="10" borderId="0" xfId="0" applyFont="1" applyFill="1"/>
    <xf numFmtId="3" fontId="7" fillId="10" borderId="0" xfId="0" applyNumberFormat="1" applyFont="1" applyFill="1" applyAlignment="1">
      <alignment horizontal="center"/>
    </xf>
    <xf numFmtId="1" fontId="7" fillId="10" borderId="0" xfId="0" applyNumberFormat="1" applyFont="1" applyFill="1" applyAlignment="1">
      <alignment horizontal="center"/>
    </xf>
    <xf numFmtId="0" fontId="7" fillId="10" borderId="0" xfId="0" applyFont="1" applyFill="1" applyAlignment="1">
      <alignment horizontal="center"/>
    </xf>
    <xf numFmtId="3" fontId="10" fillId="10" borderId="0" xfId="0" applyNumberFormat="1" applyFont="1" applyFill="1" applyAlignment="1">
      <alignment horizontal="center"/>
    </xf>
    <xf numFmtId="1" fontId="10" fillId="10" borderId="0" xfId="0" applyNumberFormat="1" applyFont="1" applyFill="1" applyAlignment="1">
      <alignment horizontal="center"/>
    </xf>
    <xf numFmtId="0" fontId="10" fillId="10" borderId="0" xfId="0" applyFont="1" applyFill="1" applyAlignment="1">
      <alignment horizontal="center"/>
    </xf>
    <xf numFmtId="0" fontId="15" fillId="10" borderId="0" xfId="3" applyFont="1" applyFill="1" applyAlignment="1" applyProtection="1"/>
    <xf numFmtId="0" fontId="16" fillId="10" borderId="0" xfId="3" applyFont="1" applyFill="1" applyAlignment="1" applyProtection="1"/>
    <xf numFmtId="0" fontId="7" fillId="10" borderId="0" xfId="0" applyFont="1" applyFill="1" applyAlignment="1">
      <alignment vertical="center"/>
    </xf>
    <xf numFmtId="3" fontId="19" fillId="10" borderId="0" xfId="0" applyNumberFormat="1" applyFont="1" applyFill="1" applyAlignment="1">
      <alignment vertical="center" wrapText="1"/>
    </xf>
    <xf numFmtId="0" fontId="7" fillId="10" borderId="0" xfId="0" applyFont="1" applyFill="1" applyAlignment="1">
      <alignment horizontal="center" vertical="center"/>
    </xf>
    <xf numFmtId="165" fontId="7" fillId="10" borderId="1" xfId="1" applyNumberFormat="1" applyFont="1" applyFill="1" applyBorder="1" applyAlignment="1">
      <alignment horizontal="center"/>
    </xf>
    <xf numFmtId="165" fontId="0" fillId="10" borderId="1" xfId="1" applyNumberFormat="1" applyFont="1" applyFill="1" applyBorder="1" applyAlignment="1">
      <alignment horizontal="center"/>
    </xf>
    <xf numFmtId="165" fontId="1" fillId="10" borderId="1" xfId="1" applyNumberFormat="1" applyFont="1" applyFill="1" applyBorder="1" applyAlignment="1">
      <alignment horizontal="center"/>
    </xf>
    <xf numFmtId="165" fontId="7" fillId="10" borderId="1" xfId="1" applyNumberFormat="1" applyFont="1" applyFill="1" applyBorder="1" applyAlignment="1">
      <alignment horizontal="center" wrapText="1"/>
    </xf>
    <xf numFmtId="0" fontId="5" fillId="8" borderId="1" xfId="0" quotePrefix="1" applyFont="1" applyFill="1" applyBorder="1" applyAlignment="1">
      <alignment vertical="center"/>
    </xf>
    <xf numFmtId="0" fontId="5" fillId="10" borderId="0" xfId="0" applyFont="1" applyFill="1" applyAlignment="1">
      <alignment horizontal="center"/>
    </xf>
    <xf numFmtId="9" fontId="5" fillId="10" borderId="0" xfId="4" applyFont="1" applyFill="1"/>
    <xf numFmtId="0" fontId="5" fillId="10" borderId="0" xfId="0" quotePrefix="1" applyFont="1" applyFill="1"/>
    <xf numFmtId="0" fontId="21" fillId="10" borderId="0" xfId="0" applyFont="1" applyFill="1"/>
    <xf numFmtId="0" fontId="5" fillId="10" borderId="1" xfId="0" applyFont="1" applyFill="1" applyBorder="1" applyAlignment="1">
      <alignment horizontal="center" vertical="center"/>
    </xf>
    <xf numFmtId="0" fontId="5" fillId="10" borderId="1" xfId="0" applyFont="1" applyFill="1" applyBorder="1"/>
    <xf numFmtId="0" fontId="24" fillId="10" borderId="0" xfId="0" applyFont="1" applyFill="1"/>
    <xf numFmtId="0" fontId="24" fillId="10" borderId="0" xfId="0" applyFont="1" applyFill="1" applyAlignment="1">
      <alignment horizontal="center"/>
    </xf>
    <xf numFmtId="0" fontId="22" fillId="10" borderId="0" xfId="0" applyFont="1" applyFill="1"/>
    <xf numFmtId="0" fontId="23" fillId="10" borderId="0" xfId="0" applyFont="1" applyFill="1"/>
    <xf numFmtId="0" fontId="25" fillId="10" borderId="8" xfId="0" applyFont="1" applyFill="1" applyBorder="1" applyAlignment="1">
      <alignment vertical="center"/>
    </xf>
    <xf numFmtId="0" fontId="25" fillId="10" borderId="9" xfId="0" applyFont="1" applyFill="1" applyBorder="1" applyAlignment="1">
      <alignment vertical="center"/>
    </xf>
    <xf numFmtId="0" fontId="25" fillId="10" borderId="10" xfId="0" applyFont="1" applyFill="1" applyBorder="1" applyAlignment="1">
      <alignment vertical="center"/>
    </xf>
    <xf numFmtId="0" fontId="5" fillId="10" borderId="13" xfId="0" applyFont="1" applyFill="1" applyBorder="1" applyAlignment="1">
      <alignment horizontal="center" vertical="center"/>
    </xf>
    <xf numFmtId="0" fontId="5" fillId="9" borderId="13" xfId="0" applyFont="1" applyFill="1" applyBorder="1" applyAlignment="1">
      <alignment vertical="center"/>
    </xf>
    <xf numFmtId="0" fontId="9" fillId="11" borderId="8" xfId="0" applyFont="1" applyFill="1" applyBorder="1" applyAlignment="1">
      <alignment horizontal="left" vertical="center"/>
    </xf>
    <xf numFmtId="0" fontId="9" fillId="11" borderId="9" xfId="0" applyFont="1" applyFill="1" applyBorder="1" applyAlignment="1">
      <alignment horizontal="left" vertical="center"/>
    </xf>
    <xf numFmtId="0" fontId="9" fillId="11" borderId="10" xfId="0" applyFont="1" applyFill="1" applyBorder="1" applyAlignment="1">
      <alignment horizontal="left" vertical="center"/>
    </xf>
    <xf numFmtId="10" fontId="5" fillId="9" borderId="13" xfId="0" applyNumberFormat="1" applyFont="1" applyFill="1" applyBorder="1" applyAlignment="1">
      <alignment horizontal="right" vertical="center"/>
    </xf>
    <xf numFmtId="165" fontId="5" fillId="9" borderId="1" xfId="1" applyNumberFormat="1" applyFont="1" applyFill="1" applyBorder="1" applyAlignment="1">
      <alignment horizontal="right" vertical="center"/>
    </xf>
    <xf numFmtId="165" fontId="5" fillId="7" borderId="1" xfId="0" applyNumberFormat="1" applyFont="1" applyFill="1" applyBorder="1" applyAlignment="1">
      <alignment horizontal="right" vertical="center"/>
    </xf>
    <xf numFmtId="166" fontId="5" fillId="8" borderId="1" xfId="0" applyNumberFormat="1" applyFont="1" applyFill="1" applyBorder="1" applyAlignment="1">
      <alignment horizontal="right" vertical="center"/>
    </xf>
    <xf numFmtId="0" fontId="25" fillId="10" borderId="9" xfId="0" applyFont="1" applyFill="1" applyBorder="1" applyAlignment="1">
      <alignment horizontal="right" vertical="center"/>
    </xf>
    <xf numFmtId="10" fontId="5" fillId="7" borderId="1" xfId="0" applyNumberFormat="1" applyFont="1" applyFill="1" applyBorder="1" applyAlignment="1">
      <alignment horizontal="right" vertical="center"/>
    </xf>
    <xf numFmtId="166" fontId="5" fillId="7" borderId="1" xfId="0" applyNumberFormat="1" applyFont="1" applyFill="1" applyBorder="1" applyAlignment="1">
      <alignment horizontal="right" vertical="center"/>
    </xf>
    <xf numFmtId="165" fontId="5" fillId="8" borderId="1" xfId="0" applyNumberFormat="1" applyFont="1" applyFill="1" applyBorder="1" applyAlignment="1">
      <alignment horizontal="right" vertical="center"/>
    </xf>
    <xf numFmtId="9" fontId="6" fillId="7" borderId="1" xfId="4" applyFont="1" applyFill="1" applyBorder="1" applyAlignment="1">
      <alignment horizontal="right" vertical="center"/>
    </xf>
    <xf numFmtId="166" fontId="5" fillId="7" borderId="1" xfId="4" applyNumberFormat="1" applyFont="1" applyFill="1" applyBorder="1" applyAlignment="1">
      <alignment horizontal="right" vertical="center"/>
    </xf>
    <xf numFmtId="10" fontId="5" fillId="8" borderId="1" xfId="0" applyNumberFormat="1" applyFont="1" applyFill="1" applyBorder="1" applyAlignment="1">
      <alignment horizontal="right" vertical="center"/>
    </xf>
    <xf numFmtId="0" fontId="9" fillId="10" borderId="0" xfId="0" applyFont="1" applyFill="1" applyAlignment="1">
      <alignment horizontal="center" vertical="center" wrapText="1"/>
    </xf>
    <xf numFmtId="0" fontId="9" fillId="2" borderId="28" xfId="0" applyFont="1" applyFill="1" applyBorder="1" applyAlignment="1">
      <alignment horizontal="center" vertical="center"/>
    </xf>
    <xf numFmtId="0" fontId="11" fillId="0" borderId="21" xfId="0" applyFont="1" applyBorder="1" applyAlignment="1">
      <alignment horizontal="center" vertical="center" wrapText="1"/>
    </xf>
    <xf numFmtId="0" fontId="12" fillId="13" borderId="21" xfId="0" applyFont="1" applyFill="1" applyBorder="1" applyAlignment="1">
      <alignment horizontal="center" vertical="center" wrapText="1"/>
    </xf>
    <xf numFmtId="0" fontId="12" fillId="13" borderId="23" xfId="0" applyFont="1" applyFill="1" applyBorder="1" applyAlignment="1">
      <alignment horizontal="center" vertical="center" wrapText="1"/>
    </xf>
    <xf numFmtId="0" fontId="17" fillId="2" borderId="30" xfId="0" applyFont="1" applyFill="1" applyBorder="1" applyAlignment="1">
      <alignment horizontal="center" vertical="center" wrapText="1"/>
    </xf>
    <xf numFmtId="44" fontId="11" fillId="10" borderId="1" xfId="2" applyFont="1" applyFill="1" applyBorder="1" applyAlignment="1">
      <alignment horizontal="center"/>
    </xf>
    <xf numFmtId="44" fontId="5" fillId="10" borderId="1" xfId="2" applyFont="1" applyFill="1" applyBorder="1" applyAlignment="1">
      <alignment horizontal="center"/>
    </xf>
    <xf numFmtId="44" fontId="5" fillId="10" borderId="22" xfId="2" applyFont="1" applyFill="1" applyBorder="1" applyAlignment="1">
      <alignment horizontal="center"/>
    </xf>
    <xf numFmtId="44" fontId="11" fillId="10" borderId="1" xfId="2" applyFont="1" applyFill="1" applyBorder="1" applyAlignment="1">
      <alignment horizontal="center" vertical="center"/>
    </xf>
    <xf numFmtId="44" fontId="5" fillId="10" borderId="1" xfId="2" applyFont="1" applyFill="1" applyBorder="1" applyAlignment="1">
      <alignment horizontal="center" vertical="center"/>
    </xf>
    <xf numFmtId="44" fontId="11" fillId="13" borderId="1" xfId="2" applyFont="1" applyFill="1" applyBorder="1" applyAlignment="1">
      <alignment horizontal="center"/>
    </xf>
    <xf numFmtId="44" fontId="11" fillId="13" borderId="22" xfId="2" applyFont="1" applyFill="1" applyBorder="1" applyAlignment="1">
      <alignment horizontal="center"/>
    </xf>
    <xf numFmtId="44" fontId="11" fillId="13" borderId="24" xfId="2" applyFont="1" applyFill="1" applyBorder="1" applyAlignment="1">
      <alignment horizontal="center"/>
    </xf>
    <xf numFmtId="44" fontId="11" fillId="13" borderId="25" xfId="2" applyFont="1" applyFill="1" applyBorder="1" applyAlignment="1">
      <alignment horizontal="center"/>
    </xf>
    <xf numFmtId="168" fontId="5" fillId="10" borderId="22" xfId="4" applyNumberFormat="1" applyFont="1" applyFill="1" applyBorder="1" applyAlignment="1">
      <alignment horizontal="center"/>
    </xf>
    <xf numFmtId="168" fontId="5" fillId="13" borderId="25" xfId="4" applyNumberFormat="1" applyFont="1" applyFill="1" applyBorder="1" applyAlignment="1">
      <alignment horizontal="center"/>
    </xf>
    <xf numFmtId="168" fontId="3" fillId="10" borderId="1" xfId="4" applyNumberFormat="1" applyFont="1" applyFill="1" applyBorder="1" applyAlignment="1">
      <alignment vertical="center"/>
    </xf>
    <xf numFmtId="0" fontId="17" fillId="2" borderId="29" xfId="0" applyFont="1" applyFill="1" applyBorder="1" applyAlignment="1">
      <alignment horizontal="center" vertical="center" wrapText="1"/>
    </xf>
    <xf numFmtId="44" fontId="3" fillId="10" borderId="0" xfId="0" applyNumberFormat="1" applyFont="1" applyFill="1" applyAlignment="1">
      <alignment horizontal="center"/>
    </xf>
    <xf numFmtId="3" fontId="5" fillId="10" borderId="1" xfId="0" applyNumberFormat="1" applyFont="1" applyFill="1" applyBorder="1" applyAlignment="1">
      <alignment horizontal="center" vertical="center"/>
    </xf>
    <xf numFmtId="169" fontId="0" fillId="10" borderId="0" xfId="0" applyNumberFormat="1" applyFill="1"/>
    <xf numFmtId="43" fontId="0" fillId="10" borderId="0" xfId="1" applyFont="1" applyFill="1"/>
    <xf numFmtId="43" fontId="0" fillId="10" borderId="0" xfId="0" applyNumberFormat="1" applyFill="1"/>
    <xf numFmtId="165" fontId="7" fillId="0" borderId="1" xfId="1" applyNumberFormat="1" applyFont="1" applyFill="1" applyBorder="1" applyAlignment="1">
      <alignment horizontal="center"/>
    </xf>
    <xf numFmtId="0" fontId="9" fillId="11" borderId="8" xfId="0" applyFont="1" applyFill="1" applyBorder="1" applyAlignment="1">
      <alignment horizontal="left" vertical="top"/>
    </xf>
    <xf numFmtId="0" fontId="9" fillId="11" borderId="9" xfId="0" applyFont="1" applyFill="1" applyBorder="1" applyAlignment="1">
      <alignment horizontal="left" vertical="top"/>
    </xf>
    <xf numFmtId="0" fontId="9" fillId="11" borderId="9" xfId="0" applyFont="1" applyFill="1" applyBorder="1" applyAlignment="1">
      <alignment horizontal="right" vertical="top"/>
    </xf>
    <xf numFmtId="0" fontId="9" fillId="11" borderId="10" xfId="0" applyFont="1" applyFill="1" applyBorder="1" applyAlignment="1">
      <alignment horizontal="left" vertical="top"/>
    </xf>
    <xf numFmtId="44" fontId="5" fillId="0" borderId="1" xfId="2" applyFont="1" applyFill="1" applyBorder="1" applyAlignment="1">
      <alignment horizontal="center"/>
    </xf>
    <xf numFmtId="165" fontId="0" fillId="0" borderId="1" xfId="1" applyNumberFormat="1" applyFont="1" applyFill="1" applyBorder="1" applyAlignment="1">
      <alignment horizontal="center"/>
    </xf>
    <xf numFmtId="165" fontId="0" fillId="10" borderId="0" xfId="0" applyNumberFormat="1" applyFill="1"/>
    <xf numFmtId="10" fontId="0" fillId="10" borderId="0" xfId="0" applyNumberFormat="1" applyFill="1"/>
    <xf numFmtId="0" fontId="39" fillId="10" borderId="0" xfId="0" applyFont="1" applyFill="1"/>
    <xf numFmtId="10" fontId="40" fillId="10" borderId="22" xfId="4" applyNumberFormat="1" applyFont="1" applyFill="1" applyBorder="1" applyAlignment="1">
      <alignment horizontal="center"/>
    </xf>
    <xf numFmtId="0" fontId="5" fillId="8" borderId="1" xfId="0" applyFont="1" applyFill="1" applyBorder="1" applyAlignment="1">
      <alignment horizontal="center" vertical="center"/>
    </xf>
    <xf numFmtId="165" fontId="10" fillId="6" borderId="1" xfId="1" applyNumberFormat="1" applyFont="1" applyFill="1" applyBorder="1" applyAlignment="1">
      <alignment horizontal="center"/>
    </xf>
    <xf numFmtId="165" fontId="10" fillId="12" borderId="9" xfId="1" applyNumberFormat="1" applyFont="1" applyFill="1" applyBorder="1" applyAlignment="1">
      <alignment vertical="center" wrapText="1"/>
    </xf>
    <xf numFmtId="165" fontId="10" fillId="12" borderId="4" xfId="1" applyNumberFormat="1" applyFont="1" applyFill="1" applyBorder="1" applyAlignment="1">
      <alignment vertical="center" wrapText="1"/>
    </xf>
    <xf numFmtId="165" fontId="7" fillId="10" borderId="1" xfId="1" applyNumberFormat="1" applyFont="1" applyFill="1" applyBorder="1" applyAlignment="1">
      <alignment horizontal="left" wrapText="1"/>
    </xf>
    <xf numFmtId="43" fontId="41" fillId="10" borderId="0" xfId="0" applyNumberFormat="1" applyFont="1" applyFill="1" applyAlignment="1">
      <alignment horizontal="center"/>
    </xf>
    <xf numFmtId="164" fontId="7" fillId="10" borderId="1" xfId="2" applyNumberFormat="1" applyFont="1" applyFill="1" applyBorder="1" applyAlignment="1">
      <alignment horizontal="center" wrapText="1"/>
    </xf>
    <xf numFmtId="164" fontId="2" fillId="10" borderId="1" xfId="2" applyNumberFormat="1" applyFont="1" applyFill="1" applyBorder="1" applyAlignment="1">
      <alignment horizontal="center" wrapText="1"/>
    </xf>
    <xf numFmtId="164" fontId="3" fillId="6" borderId="1" xfId="2" applyNumberFormat="1" applyFont="1" applyFill="1" applyBorder="1" applyAlignment="1">
      <alignment horizontal="center"/>
    </xf>
    <xf numFmtId="164" fontId="2" fillId="10" borderId="1" xfId="2" applyNumberFormat="1" applyFont="1" applyFill="1" applyBorder="1" applyAlignment="1">
      <alignment horizontal="center"/>
    </xf>
    <xf numFmtId="164" fontId="30" fillId="10" borderId="1" xfId="2" applyNumberFormat="1" applyFont="1" applyFill="1" applyBorder="1" applyAlignment="1">
      <alignment horizontal="left" wrapText="1"/>
    </xf>
    <xf numFmtId="164" fontId="40" fillId="10" borderId="1" xfId="2" applyNumberFormat="1" applyFont="1" applyFill="1" applyBorder="1" applyAlignment="1">
      <alignment horizontal="left" wrapText="1"/>
    </xf>
    <xf numFmtId="164" fontId="32" fillId="6" borderId="1" xfId="2" applyNumberFormat="1" applyFont="1" applyFill="1" applyBorder="1" applyAlignment="1">
      <alignment horizontal="center"/>
    </xf>
    <xf numFmtId="164" fontId="3" fillId="12" borderId="9" xfId="2" applyNumberFormat="1" applyFont="1" applyFill="1" applyBorder="1" applyAlignment="1">
      <alignment vertical="center" wrapText="1"/>
    </xf>
    <xf numFmtId="164" fontId="10" fillId="6" borderId="1" xfId="2" applyNumberFormat="1" applyFont="1" applyFill="1" applyBorder="1" applyAlignment="1">
      <alignment horizontal="center"/>
    </xf>
    <xf numFmtId="44" fontId="10" fillId="10" borderId="1" xfId="2" applyFont="1" applyFill="1" applyBorder="1" applyAlignment="1">
      <alignment vertical="center"/>
    </xf>
    <xf numFmtId="44" fontId="7" fillId="10" borderId="1" xfId="2" applyFont="1" applyFill="1" applyBorder="1" applyAlignment="1">
      <alignment horizontal="center"/>
    </xf>
    <xf numFmtId="164" fontId="7" fillId="10" borderId="1" xfId="2" applyNumberFormat="1" applyFont="1" applyFill="1" applyBorder="1" applyAlignment="1">
      <alignment horizontal="center"/>
    </xf>
    <xf numFmtId="164" fontId="10" fillId="12" borderId="9" xfId="2" applyNumberFormat="1" applyFont="1" applyFill="1" applyBorder="1" applyAlignment="1">
      <alignment vertical="center" wrapText="1"/>
    </xf>
    <xf numFmtId="164" fontId="7" fillId="10" borderId="1" xfId="2" applyNumberFormat="1" applyFont="1" applyFill="1" applyBorder="1" applyAlignment="1">
      <alignment horizontal="left" wrapText="1"/>
    </xf>
    <xf numFmtId="164" fontId="7" fillId="10" borderId="9" xfId="2" applyNumberFormat="1" applyFont="1" applyFill="1" applyBorder="1" applyAlignment="1">
      <alignment horizontal="left" wrapText="1"/>
    </xf>
    <xf numFmtId="164" fontId="7" fillId="10" borderId="10" xfId="2" applyNumberFormat="1" applyFont="1" applyFill="1" applyBorder="1" applyAlignment="1">
      <alignment horizontal="left" wrapText="1"/>
    </xf>
    <xf numFmtId="165" fontId="2" fillId="10" borderId="1" xfId="1" applyNumberFormat="1" applyFont="1" applyFill="1" applyBorder="1" applyAlignment="1">
      <alignment horizontal="center"/>
    </xf>
    <xf numFmtId="0" fontId="17" fillId="2" borderId="34" xfId="0" applyFont="1" applyFill="1" applyBorder="1" applyAlignment="1">
      <alignment horizontal="center" vertical="center" wrapText="1"/>
    </xf>
    <xf numFmtId="164" fontId="7" fillId="10" borderId="10" xfId="2" applyNumberFormat="1" applyFont="1" applyFill="1" applyBorder="1" applyAlignment="1">
      <alignment horizontal="center" wrapText="1"/>
    </xf>
    <xf numFmtId="164" fontId="7" fillId="10" borderId="10" xfId="2" applyNumberFormat="1" applyFont="1" applyFill="1" applyBorder="1" applyAlignment="1">
      <alignment horizontal="center"/>
    </xf>
    <xf numFmtId="44" fontId="10" fillId="12" borderId="4" xfId="2" applyFont="1" applyFill="1" applyBorder="1" applyAlignment="1">
      <alignment vertical="center" wrapText="1"/>
    </xf>
    <xf numFmtId="164" fontId="10" fillId="6" borderId="10" xfId="2" applyNumberFormat="1" applyFont="1" applyFill="1" applyBorder="1" applyAlignment="1">
      <alignment horizontal="left"/>
    </xf>
    <xf numFmtId="164" fontId="10" fillId="12" borderId="4" xfId="2" applyNumberFormat="1" applyFont="1" applyFill="1" applyBorder="1" applyAlignment="1">
      <alignment vertical="center" wrapText="1"/>
    </xf>
    <xf numFmtId="44" fontId="4" fillId="6" borderId="10" xfId="2" applyFont="1" applyFill="1" applyBorder="1" applyAlignment="1">
      <alignment horizontal="left"/>
    </xf>
    <xf numFmtId="44" fontId="3" fillId="6" borderId="10" xfId="2" applyFont="1" applyFill="1" applyBorder="1" applyAlignment="1">
      <alignment horizontal="left"/>
    </xf>
    <xf numFmtId="164" fontId="4" fillId="5" borderId="27" xfId="2" applyNumberFormat="1" applyFont="1" applyFill="1" applyBorder="1" applyAlignment="1">
      <alignment horizontal="left" vertical="center" wrapText="1"/>
    </xf>
    <xf numFmtId="10" fontId="10" fillId="6" borderId="1" xfId="4" applyNumberFormat="1" applyFont="1" applyFill="1" applyBorder="1" applyAlignment="1">
      <alignment horizontal="center"/>
    </xf>
    <xf numFmtId="10" fontId="7" fillId="3" borderId="1" xfId="4" applyNumberFormat="1" applyFont="1" applyFill="1" applyBorder="1" applyAlignment="1">
      <alignment horizontal="center" wrapText="1"/>
    </xf>
    <xf numFmtId="43" fontId="3" fillId="10" borderId="0" xfId="1" applyFont="1" applyFill="1" applyAlignment="1">
      <alignment horizontal="center"/>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165" fontId="7" fillId="10" borderId="21" xfId="1" applyNumberFormat="1" applyFont="1" applyFill="1" applyBorder="1" applyAlignment="1">
      <alignment horizontal="center" vertical="center" wrapText="1"/>
    </xf>
    <xf numFmtId="10" fontId="7" fillId="10" borderId="22" xfId="4" applyNumberFormat="1" applyFont="1" applyFill="1" applyBorder="1" applyAlignment="1">
      <alignment horizontal="center" wrapText="1"/>
    </xf>
    <xf numFmtId="165" fontId="7" fillId="0" borderId="21" xfId="1" applyNumberFormat="1" applyFont="1" applyFill="1" applyBorder="1" applyAlignment="1">
      <alignment horizontal="center" vertical="center" wrapText="1"/>
    </xf>
    <xf numFmtId="165" fontId="7" fillId="10" borderId="21" xfId="1" applyNumberFormat="1" applyFont="1" applyFill="1" applyBorder="1" applyAlignment="1">
      <alignment horizontal="left" wrapText="1"/>
    </xf>
    <xf numFmtId="165" fontId="10" fillId="6" borderId="21" xfId="1" applyNumberFormat="1" applyFont="1" applyFill="1" applyBorder="1" applyAlignment="1">
      <alignment horizontal="center"/>
    </xf>
    <xf numFmtId="10" fontId="10" fillId="6" borderId="22" xfId="4" applyNumberFormat="1" applyFont="1" applyFill="1" applyBorder="1" applyAlignment="1">
      <alignment horizontal="center"/>
    </xf>
    <xf numFmtId="10" fontId="7" fillId="3" borderId="22" xfId="4" applyNumberFormat="1" applyFont="1" applyFill="1" applyBorder="1" applyAlignment="1">
      <alignment horizontal="center" wrapText="1"/>
    </xf>
    <xf numFmtId="165" fontId="10" fillId="12" borderId="19" xfId="1" applyNumberFormat="1" applyFont="1" applyFill="1" applyBorder="1" applyAlignment="1">
      <alignment vertical="center" wrapText="1"/>
    </xf>
    <xf numFmtId="10" fontId="10" fillId="12" borderId="20" xfId="4" applyNumberFormat="1" applyFont="1" applyFill="1" applyBorder="1" applyAlignment="1">
      <alignment vertical="center" wrapText="1"/>
    </xf>
    <xf numFmtId="10" fontId="7" fillId="10" borderId="22" xfId="4" applyNumberFormat="1" applyFont="1" applyFill="1" applyBorder="1" applyAlignment="1">
      <alignment horizontal="center"/>
    </xf>
    <xf numFmtId="165" fontId="7" fillId="0" borderId="21" xfId="1" applyNumberFormat="1" applyFont="1" applyFill="1" applyBorder="1" applyAlignment="1">
      <alignment horizontal="left" wrapText="1"/>
    </xf>
    <xf numFmtId="165" fontId="10" fillId="6" borderId="21" xfId="1" applyNumberFormat="1" applyFont="1" applyFill="1" applyBorder="1" applyAlignment="1">
      <alignment horizontal="left"/>
    </xf>
    <xf numFmtId="165" fontId="7" fillId="10" borderId="19" xfId="1" applyNumberFormat="1" applyFont="1" applyFill="1" applyBorder="1" applyAlignment="1">
      <alignment horizontal="left" wrapText="1"/>
    </xf>
    <xf numFmtId="165" fontId="7" fillId="10" borderId="21" xfId="1" applyNumberFormat="1" applyFont="1" applyFill="1" applyBorder="1" applyAlignment="1">
      <alignment horizontal="left"/>
    </xf>
    <xf numFmtId="165" fontId="4" fillId="5" borderId="23" xfId="1" applyNumberFormat="1" applyFont="1" applyFill="1" applyBorder="1" applyAlignment="1">
      <alignment horizontal="center" vertical="center"/>
    </xf>
    <xf numFmtId="165" fontId="4" fillId="5" borderId="24" xfId="1" applyNumberFormat="1" applyFont="1" applyFill="1" applyBorder="1" applyAlignment="1">
      <alignment horizontal="center" vertical="center"/>
    </xf>
    <xf numFmtId="164" fontId="10" fillId="6" borderId="10" xfId="2" applyNumberFormat="1" applyFont="1" applyFill="1" applyBorder="1" applyAlignment="1">
      <alignment horizontal="center"/>
    </xf>
    <xf numFmtId="164" fontId="7" fillId="3" borderId="10" xfId="2" applyNumberFormat="1" applyFont="1" applyFill="1" applyBorder="1" applyAlignment="1">
      <alignment horizontal="center"/>
    </xf>
    <xf numFmtId="164" fontId="7" fillId="3" borderId="10" xfId="2" applyNumberFormat="1" applyFont="1" applyFill="1" applyBorder="1" applyAlignment="1">
      <alignment horizontal="center" wrapText="1"/>
    </xf>
    <xf numFmtId="0" fontId="17" fillId="2" borderId="21" xfId="0" applyFont="1" applyFill="1" applyBorder="1" applyAlignment="1">
      <alignment horizontal="center" vertical="center" wrapText="1"/>
    </xf>
    <xf numFmtId="0" fontId="17" fillId="2" borderId="22" xfId="0" applyFont="1" applyFill="1" applyBorder="1" applyAlignment="1">
      <alignment horizontal="center" vertical="center" wrapText="1"/>
    </xf>
    <xf numFmtId="165" fontId="7" fillId="10" borderId="21" xfId="1" applyNumberFormat="1" applyFont="1" applyFill="1" applyBorder="1" applyAlignment="1">
      <alignment horizontal="center" wrapText="1"/>
    </xf>
    <xf numFmtId="165" fontId="7" fillId="0" borderId="21" xfId="1" applyNumberFormat="1" applyFont="1" applyFill="1" applyBorder="1" applyAlignment="1">
      <alignment horizontal="center" wrapText="1"/>
    </xf>
    <xf numFmtId="165" fontId="7" fillId="10" borderId="21" xfId="1" applyNumberFormat="1" applyFont="1" applyFill="1" applyBorder="1" applyAlignment="1">
      <alignment horizontal="center"/>
    </xf>
    <xf numFmtId="165" fontId="10" fillId="12" borderId="45" xfId="1" applyNumberFormat="1" applyFont="1" applyFill="1" applyBorder="1" applyAlignment="1">
      <alignment vertical="center" wrapText="1"/>
    </xf>
    <xf numFmtId="0" fontId="17" fillId="2" borderId="28" xfId="0" applyFont="1" applyFill="1" applyBorder="1" applyAlignment="1">
      <alignment horizontal="center" vertical="center" wrapText="1"/>
    </xf>
    <xf numFmtId="164" fontId="7" fillId="10" borderId="21" xfId="2" applyNumberFormat="1" applyFont="1" applyFill="1" applyBorder="1" applyAlignment="1">
      <alignment horizontal="center" wrapText="1"/>
    </xf>
    <xf numFmtId="44" fontId="7" fillId="10" borderId="21" xfId="2" applyFont="1" applyFill="1" applyBorder="1" applyAlignment="1">
      <alignment horizontal="center"/>
    </xf>
    <xf numFmtId="164" fontId="10" fillId="6" borderId="21" xfId="2" applyNumberFormat="1" applyFont="1" applyFill="1" applyBorder="1" applyAlignment="1">
      <alignment horizontal="center"/>
    </xf>
    <xf numFmtId="164" fontId="7" fillId="3" borderId="21" xfId="2" applyNumberFormat="1" applyFont="1" applyFill="1" applyBorder="1" applyAlignment="1">
      <alignment horizontal="center"/>
    </xf>
    <xf numFmtId="164" fontId="7" fillId="3" borderId="21" xfId="2" applyNumberFormat="1" applyFont="1" applyFill="1" applyBorder="1" applyAlignment="1">
      <alignment horizontal="center" wrapText="1"/>
    </xf>
    <xf numFmtId="44" fontId="10" fillId="12" borderId="45" xfId="2" applyFont="1" applyFill="1" applyBorder="1" applyAlignment="1">
      <alignment vertical="center" wrapText="1"/>
    </xf>
    <xf numFmtId="164" fontId="7" fillId="10" borderId="21" xfId="2" applyNumberFormat="1" applyFont="1" applyFill="1" applyBorder="1" applyAlignment="1">
      <alignment horizontal="center"/>
    </xf>
    <xf numFmtId="164" fontId="7" fillId="0" borderId="21" xfId="2" applyNumberFormat="1" applyFont="1" applyFill="1" applyBorder="1" applyAlignment="1">
      <alignment horizontal="center"/>
    </xf>
    <xf numFmtId="164" fontId="10" fillId="6" borderId="21" xfId="2" applyNumberFormat="1" applyFont="1" applyFill="1" applyBorder="1" applyAlignment="1">
      <alignment horizontal="left"/>
    </xf>
    <xf numFmtId="164" fontId="7" fillId="10" borderId="19" xfId="2" applyNumberFormat="1" applyFont="1" applyFill="1" applyBorder="1" applyAlignment="1">
      <alignment horizontal="left" wrapText="1"/>
    </xf>
    <xf numFmtId="44" fontId="4" fillId="6" borderId="21" xfId="2" applyFont="1" applyFill="1" applyBorder="1" applyAlignment="1">
      <alignment horizontal="left"/>
    </xf>
    <xf numFmtId="44" fontId="3" fillId="6" borderId="21" xfId="2" applyFont="1" applyFill="1" applyBorder="1" applyAlignment="1">
      <alignment horizontal="left"/>
    </xf>
    <xf numFmtId="164" fontId="4" fillId="5" borderId="23" xfId="2" applyNumberFormat="1" applyFont="1" applyFill="1" applyBorder="1" applyAlignment="1">
      <alignment horizontal="left" vertical="center" wrapText="1"/>
    </xf>
    <xf numFmtId="164" fontId="4" fillId="5" borderId="24" xfId="2" applyNumberFormat="1" applyFont="1" applyFill="1" applyBorder="1" applyAlignment="1">
      <alignment horizontal="left" vertical="center" wrapText="1"/>
    </xf>
    <xf numFmtId="0" fontId="17" fillId="2" borderId="31" xfId="0" applyFont="1" applyFill="1" applyBorder="1" applyAlignment="1">
      <alignment horizontal="center" vertical="center" wrapText="1"/>
    </xf>
    <xf numFmtId="0" fontId="3" fillId="12" borderId="32" xfId="0" applyFont="1" applyFill="1" applyBorder="1" applyAlignment="1">
      <alignment vertical="center" wrapText="1"/>
    </xf>
    <xf numFmtId="0" fontId="2" fillId="10" borderId="32" xfId="0" applyFont="1" applyFill="1" applyBorder="1" applyAlignment="1">
      <alignment horizontal="left" wrapText="1"/>
    </xf>
    <xf numFmtId="0" fontId="3" fillId="6" borderId="32" xfId="0" applyFont="1" applyFill="1" applyBorder="1" applyAlignment="1">
      <alignment horizontal="left" wrapText="1"/>
    </xf>
    <xf numFmtId="0" fontId="20" fillId="3" borderId="32" xfId="0" applyFont="1" applyFill="1" applyBorder="1" applyAlignment="1">
      <alignment horizontal="right" wrapText="1"/>
    </xf>
    <xf numFmtId="0" fontId="3" fillId="4" borderId="32" xfId="0" applyFont="1" applyFill="1" applyBorder="1" applyAlignment="1">
      <alignment vertical="center" wrapText="1"/>
    </xf>
    <xf numFmtId="167" fontId="30" fillId="10" borderId="32" xfId="1" applyNumberFormat="1" applyFont="1" applyFill="1" applyBorder="1" applyAlignment="1">
      <alignment horizontal="left" wrapText="1"/>
    </xf>
    <xf numFmtId="167" fontId="30" fillId="0" borderId="32" xfId="1" applyNumberFormat="1" applyFont="1" applyFill="1" applyBorder="1" applyAlignment="1">
      <alignment horizontal="left" wrapText="1"/>
    </xf>
    <xf numFmtId="0" fontId="3" fillId="6" borderId="32" xfId="0" applyFont="1" applyFill="1" applyBorder="1" applyAlignment="1">
      <alignment horizontal="left" vertical="center" wrapText="1"/>
    </xf>
    <xf numFmtId="0" fontId="3" fillId="5" borderId="33" xfId="0" applyFont="1" applyFill="1" applyBorder="1" applyAlignment="1">
      <alignment horizontal="left" vertical="center" wrapText="1"/>
    </xf>
    <xf numFmtId="0" fontId="12" fillId="4" borderId="0" xfId="0" applyFont="1" applyFill="1" applyAlignment="1">
      <alignment horizontal="center" vertical="center" wrapText="1"/>
    </xf>
    <xf numFmtId="0" fontId="12" fillId="4" borderId="0" xfId="0" applyFont="1" applyFill="1" applyAlignment="1">
      <alignment horizontal="center" vertical="center"/>
    </xf>
    <xf numFmtId="3" fontId="6" fillId="4" borderId="0" xfId="0" applyNumberFormat="1" applyFont="1" applyFill="1" applyAlignment="1">
      <alignment horizontal="center" vertical="center"/>
    </xf>
    <xf numFmtId="10" fontId="6" fillId="4" borderId="0" xfId="0" applyNumberFormat="1" applyFont="1" applyFill="1" applyAlignment="1">
      <alignment horizontal="center" vertical="center"/>
    </xf>
    <xf numFmtId="165" fontId="6" fillId="4" borderId="0" xfId="1" applyNumberFormat="1" applyFont="1" applyFill="1" applyBorder="1" applyAlignment="1">
      <alignment horizontal="center" vertical="center"/>
    </xf>
    <xf numFmtId="0" fontId="42" fillId="8" borderId="1" xfId="0" quotePrefix="1" applyFont="1" applyFill="1" applyBorder="1" applyAlignment="1">
      <alignment vertical="center"/>
    </xf>
    <xf numFmtId="10" fontId="7" fillId="3" borderId="20" xfId="4" applyNumberFormat="1" applyFont="1" applyFill="1" applyBorder="1" applyAlignment="1">
      <alignment horizontal="center" wrapText="1"/>
    </xf>
    <xf numFmtId="165" fontId="10" fillId="6" borderId="26" xfId="1" applyNumberFormat="1" applyFont="1" applyFill="1" applyBorder="1" applyAlignment="1">
      <alignment horizontal="center"/>
    </xf>
    <xf numFmtId="0" fontId="2" fillId="0" borderId="32" xfId="0" applyFont="1" applyBorder="1" applyAlignment="1">
      <alignment horizontal="left" wrapText="1"/>
    </xf>
    <xf numFmtId="0" fontId="44" fillId="10" borderId="0" xfId="0" quotePrefix="1" applyFont="1" applyFill="1" applyAlignment="1">
      <alignment horizontal="left" indent="10"/>
    </xf>
    <xf numFmtId="0" fontId="0" fillId="10" borderId="47" xfId="0" applyFill="1" applyBorder="1"/>
    <xf numFmtId="0" fontId="5" fillId="10" borderId="48" xfId="0" applyFont="1" applyFill="1" applyBorder="1" applyAlignment="1">
      <alignment horizontal="left" indent="1"/>
    </xf>
    <xf numFmtId="0" fontId="45" fillId="10" borderId="48" xfId="0" quotePrefix="1" applyFont="1" applyFill="1" applyBorder="1" applyAlignment="1">
      <alignment horizontal="left" wrapText="1" indent="11"/>
    </xf>
    <xf numFmtId="0" fontId="5" fillId="10" borderId="48" xfId="0" quotePrefix="1" applyFont="1" applyFill="1" applyBorder="1" applyAlignment="1">
      <alignment horizontal="left" wrapText="1" indent="11"/>
    </xf>
    <xf numFmtId="0" fontId="5" fillId="10" borderId="48" xfId="0" quotePrefix="1" applyFont="1" applyFill="1" applyBorder="1" applyAlignment="1">
      <alignment horizontal="left" indent="6"/>
    </xf>
    <xf numFmtId="0" fontId="5" fillId="10" borderId="48" xfId="0" quotePrefix="1" applyFont="1" applyFill="1" applyBorder="1" applyAlignment="1">
      <alignment horizontal="left" indent="16"/>
    </xf>
    <xf numFmtId="0" fontId="5" fillId="10" borderId="48" xfId="0" quotePrefix="1" applyFont="1" applyFill="1" applyBorder="1" applyAlignment="1">
      <alignment horizontal="left" indent="11"/>
    </xf>
    <xf numFmtId="0" fontId="6" fillId="10" borderId="48" xfId="0" applyFont="1" applyFill="1" applyBorder="1" applyAlignment="1">
      <alignment horizontal="left" indent="1"/>
    </xf>
    <xf numFmtId="0" fontId="0" fillId="10" borderId="49" xfId="0" applyFill="1" applyBorder="1"/>
    <xf numFmtId="0" fontId="46" fillId="10" borderId="0" xfId="0" applyFont="1" applyFill="1"/>
    <xf numFmtId="42" fontId="0" fillId="10" borderId="0" xfId="0" applyNumberFormat="1" applyFill="1"/>
    <xf numFmtId="42" fontId="0" fillId="10" borderId="1" xfId="0" applyNumberFormat="1" applyFill="1" applyBorder="1"/>
    <xf numFmtId="0" fontId="29" fillId="10" borderId="1" xfId="0" applyFont="1" applyFill="1" applyBorder="1"/>
    <xf numFmtId="42" fontId="22" fillId="14" borderId="18" xfId="0" applyNumberFormat="1" applyFont="1" applyFill="1" applyBorder="1" applyAlignment="1">
      <alignment horizontal="center" vertical="center"/>
    </xf>
    <xf numFmtId="42" fontId="22" fillId="14" borderId="13" xfId="0" applyNumberFormat="1" applyFont="1" applyFill="1" applyBorder="1" applyAlignment="1">
      <alignment horizontal="center" vertical="center" wrapText="1"/>
    </xf>
    <xf numFmtId="0" fontId="22" fillId="14" borderId="13" xfId="0" applyFont="1" applyFill="1" applyBorder="1" applyAlignment="1">
      <alignment horizontal="center" vertical="center"/>
    </xf>
    <xf numFmtId="0" fontId="22" fillId="14" borderId="17" xfId="0" applyFont="1" applyFill="1" applyBorder="1" applyAlignment="1">
      <alignment horizontal="center" vertical="center"/>
    </xf>
    <xf numFmtId="0" fontId="50" fillId="10" borderId="0" xfId="0" applyFont="1" applyFill="1" applyAlignment="1">
      <alignment horizontal="left" vertical="center" wrapText="1"/>
    </xf>
    <xf numFmtId="0" fontId="0" fillId="10" borderId="13" xfId="0" applyFill="1" applyBorder="1"/>
    <xf numFmtId="0" fontId="5" fillId="10" borderId="50" xfId="0" applyFont="1" applyFill="1" applyBorder="1" applyAlignment="1">
      <alignment horizontal="left" indent="1"/>
    </xf>
    <xf numFmtId="0" fontId="5" fillId="10" borderId="50" xfId="0" quotePrefix="1" applyFont="1" applyFill="1" applyBorder="1" applyAlignment="1">
      <alignment horizontal="left" wrapText="1" indent="11"/>
    </xf>
    <xf numFmtId="0" fontId="5" fillId="10" borderId="50" xfId="0" quotePrefix="1" applyFont="1" applyFill="1" applyBorder="1" applyAlignment="1">
      <alignment horizontal="left" indent="6"/>
    </xf>
    <xf numFmtId="0" fontId="5" fillId="10" borderId="50" xfId="0" quotePrefix="1" applyFont="1" applyFill="1" applyBorder="1" applyAlignment="1">
      <alignment horizontal="left" wrapText="1" indent="16"/>
    </xf>
    <xf numFmtId="0" fontId="5" fillId="10" borderId="50" xfId="0" quotePrefix="1" applyFont="1" applyFill="1" applyBorder="1" applyAlignment="1">
      <alignment horizontal="left" indent="11"/>
    </xf>
    <xf numFmtId="0" fontId="6" fillId="10" borderId="50" xfId="0" applyFont="1" applyFill="1" applyBorder="1" applyAlignment="1">
      <alignment horizontal="left" indent="1"/>
    </xf>
    <xf numFmtId="0" fontId="0" fillId="10" borderId="26" xfId="0" applyFill="1" applyBorder="1"/>
    <xf numFmtId="0" fontId="51" fillId="10" borderId="0" xfId="0" applyFont="1" applyFill="1" applyAlignment="1">
      <alignment horizontal="left" vertical="center" wrapText="1"/>
    </xf>
    <xf numFmtId="0" fontId="52" fillId="10" borderId="0" xfId="0" applyFont="1" applyFill="1" applyAlignment="1">
      <alignment horizontal="left" vertical="center" wrapText="1"/>
    </xf>
    <xf numFmtId="0" fontId="53" fillId="10" borderId="0" xfId="0" applyFont="1" applyFill="1"/>
    <xf numFmtId="0" fontId="22" fillId="17" borderId="17" xfId="0" applyFont="1" applyFill="1" applyBorder="1" applyAlignment="1">
      <alignment horizontal="center" vertical="center"/>
    </xf>
    <xf numFmtId="0" fontId="22" fillId="17" borderId="13" xfId="0" applyFont="1" applyFill="1" applyBorder="1" applyAlignment="1">
      <alignment horizontal="center" vertical="center"/>
    </xf>
    <xf numFmtId="42" fontId="28" fillId="17" borderId="1" xfId="0" applyNumberFormat="1" applyFont="1" applyFill="1" applyBorder="1"/>
    <xf numFmtId="165" fontId="7" fillId="3" borderId="46" xfId="1" applyNumberFormat="1" applyFont="1" applyFill="1" applyBorder="1" applyAlignment="1">
      <alignment horizontal="center" wrapText="1"/>
    </xf>
    <xf numFmtId="164" fontId="7" fillId="3" borderId="1" xfId="2" applyNumberFormat="1" applyFont="1" applyFill="1" applyBorder="1" applyAlignment="1">
      <alignment horizontal="center" wrapText="1"/>
    </xf>
    <xf numFmtId="165" fontId="7" fillId="3" borderId="19" xfId="1" applyNumberFormat="1" applyFont="1" applyFill="1" applyBorder="1" applyAlignment="1">
      <alignment horizontal="center" wrapText="1"/>
    </xf>
    <xf numFmtId="165" fontId="7" fillId="3" borderId="21" xfId="1" applyNumberFormat="1" applyFont="1" applyFill="1" applyBorder="1" applyAlignment="1">
      <alignment horizontal="center" wrapText="1"/>
    </xf>
    <xf numFmtId="165" fontId="7" fillId="3" borderId="13" xfId="1" applyNumberFormat="1" applyFont="1" applyFill="1" applyBorder="1" applyAlignment="1">
      <alignment horizontal="center" wrapText="1"/>
    </xf>
    <xf numFmtId="165" fontId="7" fillId="3" borderId="13" xfId="1" applyNumberFormat="1" applyFont="1" applyFill="1" applyBorder="1" applyAlignment="1">
      <alignment horizontal="center"/>
    </xf>
    <xf numFmtId="165" fontId="55" fillId="10" borderId="19" xfId="1" applyNumberFormat="1" applyFont="1" applyFill="1" applyBorder="1" applyAlignment="1">
      <alignment horizontal="left" wrapText="1"/>
    </xf>
    <xf numFmtId="165" fontId="55" fillId="10" borderId="1" xfId="1" applyNumberFormat="1" applyFont="1" applyFill="1" applyBorder="1" applyAlignment="1">
      <alignment horizontal="left" wrapText="1"/>
    </xf>
    <xf numFmtId="10" fontId="55" fillId="10" borderId="22" xfId="4" applyNumberFormat="1" applyFont="1" applyFill="1" applyBorder="1" applyAlignment="1">
      <alignment horizontal="center"/>
    </xf>
    <xf numFmtId="165" fontId="55" fillId="10" borderId="46" xfId="1" applyNumberFormat="1" applyFont="1" applyFill="1" applyBorder="1" applyAlignment="1">
      <alignment horizontal="left" wrapText="1"/>
    </xf>
    <xf numFmtId="165" fontId="55" fillId="10" borderId="9" xfId="1" applyNumberFormat="1" applyFont="1" applyFill="1" applyBorder="1" applyAlignment="1">
      <alignment horizontal="left" wrapText="1"/>
    </xf>
    <xf numFmtId="10" fontId="55" fillId="10" borderId="20" xfId="4" applyNumberFormat="1" applyFont="1" applyFill="1" applyBorder="1" applyAlignment="1">
      <alignment horizontal="center"/>
    </xf>
    <xf numFmtId="164" fontId="55" fillId="10" borderId="21" xfId="2" applyNumberFormat="1" applyFont="1" applyFill="1" applyBorder="1" applyAlignment="1">
      <alignment horizontal="center"/>
    </xf>
    <xf numFmtId="164" fontId="55" fillId="10" borderId="1" xfId="2" applyNumberFormat="1" applyFont="1" applyFill="1" applyBorder="1" applyAlignment="1">
      <alignment horizontal="center"/>
    </xf>
    <xf numFmtId="164" fontId="55" fillId="10" borderId="1" xfId="2" applyNumberFormat="1" applyFont="1" applyFill="1" applyBorder="1" applyAlignment="1">
      <alignment horizontal="center" wrapText="1"/>
    </xf>
    <xf numFmtId="165" fontId="55" fillId="10" borderId="13" xfId="1" applyNumberFormat="1" applyFont="1" applyFill="1" applyBorder="1" applyAlignment="1">
      <alignment horizontal="left" wrapText="1"/>
    </xf>
    <xf numFmtId="164" fontId="55" fillId="10" borderId="19" xfId="2" applyNumberFormat="1" applyFont="1" applyFill="1" applyBorder="1" applyAlignment="1">
      <alignment horizontal="left" wrapText="1"/>
    </xf>
    <xf numFmtId="164" fontId="55" fillId="10" borderId="1" xfId="2" applyNumberFormat="1" applyFont="1" applyFill="1" applyBorder="1" applyAlignment="1">
      <alignment horizontal="left" wrapText="1"/>
    </xf>
    <xf numFmtId="164" fontId="55" fillId="10" borderId="9" xfId="2" applyNumberFormat="1" applyFont="1" applyFill="1" applyBorder="1" applyAlignment="1">
      <alignment horizontal="left" wrapText="1"/>
    </xf>
    <xf numFmtId="165" fontId="4" fillId="6" borderId="21" xfId="1" applyNumberFormat="1" applyFont="1" applyFill="1" applyBorder="1" applyAlignment="1">
      <alignment horizontal="center"/>
    </xf>
    <xf numFmtId="165" fontId="4" fillId="6" borderId="1" xfId="1" applyNumberFormat="1" applyFont="1" applyFill="1" applyBorder="1" applyAlignment="1">
      <alignment horizontal="center"/>
    </xf>
    <xf numFmtId="44" fontId="2" fillId="10" borderId="13" xfId="2" applyFont="1" applyFill="1" applyBorder="1" applyAlignment="1">
      <alignment vertical="center"/>
    </xf>
    <xf numFmtId="44" fontId="2" fillId="10" borderId="1" xfId="2" applyFont="1" applyFill="1" applyBorder="1" applyAlignment="1">
      <alignment vertical="center"/>
    </xf>
    <xf numFmtId="44" fontId="2" fillId="0" borderId="13" xfId="2" applyFont="1" applyFill="1" applyBorder="1" applyAlignment="1">
      <alignment horizontal="left" vertical="center"/>
    </xf>
    <xf numFmtId="44" fontId="2" fillId="0" borderId="1" xfId="2" applyFont="1" applyFill="1" applyBorder="1" applyAlignment="1">
      <alignment vertical="center"/>
    </xf>
    <xf numFmtId="165" fontId="2" fillId="0" borderId="1" xfId="1" applyNumberFormat="1" applyFont="1" applyFill="1" applyBorder="1" applyAlignment="1">
      <alignment horizontal="center"/>
    </xf>
    <xf numFmtId="49" fontId="22" fillId="14" borderId="13" xfId="0" quotePrefix="1" applyNumberFormat="1" applyFont="1" applyFill="1" applyBorder="1" applyAlignment="1">
      <alignment horizontal="center" vertical="center" wrapText="1"/>
    </xf>
    <xf numFmtId="42" fontId="0" fillId="0" borderId="1" xfId="0" applyNumberFormat="1" applyBorder="1"/>
    <xf numFmtId="0" fontId="14" fillId="10" borderId="0" xfId="3" applyFill="1" applyAlignment="1" applyProtection="1"/>
    <xf numFmtId="42" fontId="0" fillId="0" borderId="0" xfId="0" applyNumberFormat="1"/>
    <xf numFmtId="42" fontId="0" fillId="10" borderId="8" xfId="0" applyNumberFormat="1" applyFill="1" applyBorder="1"/>
    <xf numFmtId="9" fontId="0" fillId="10" borderId="22" xfId="4" applyFont="1" applyFill="1" applyBorder="1" applyAlignment="1">
      <alignment horizontal="center"/>
    </xf>
    <xf numFmtId="9" fontId="28" fillId="17" borderId="22" xfId="4" applyFont="1" applyFill="1" applyBorder="1" applyAlignment="1">
      <alignment horizontal="center"/>
    </xf>
    <xf numFmtId="42" fontId="28" fillId="14" borderId="1" xfId="0" applyNumberFormat="1" applyFont="1" applyFill="1" applyBorder="1"/>
    <xf numFmtId="42" fontId="28" fillId="14" borderId="8" xfId="0" applyNumberFormat="1" applyFont="1" applyFill="1" applyBorder="1"/>
    <xf numFmtId="9" fontId="28" fillId="14" borderId="22" xfId="4" applyFont="1" applyFill="1" applyBorder="1" applyAlignment="1">
      <alignment horizontal="center"/>
    </xf>
    <xf numFmtId="9" fontId="28" fillId="17" borderId="53" xfId="4" applyFont="1" applyFill="1" applyBorder="1" applyAlignment="1">
      <alignment horizontal="center"/>
    </xf>
    <xf numFmtId="42" fontId="49" fillId="15" borderId="24" xfId="0" applyNumberFormat="1" applyFont="1" applyFill="1" applyBorder="1" applyAlignment="1">
      <alignment vertical="center"/>
    </xf>
    <xf numFmtId="9" fontId="49" fillId="15" borderId="52" xfId="4" applyFont="1" applyFill="1" applyBorder="1" applyAlignment="1">
      <alignment horizontal="center" vertical="center"/>
    </xf>
    <xf numFmtId="42" fontId="49" fillId="18" borderId="24" xfId="0" applyNumberFormat="1" applyFont="1" applyFill="1" applyBorder="1" applyAlignment="1">
      <alignment vertical="center"/>
    </xf>
    <xf numFmtId="42" fontId="49" fillId="18" borderId="51" xfId="0" applyNumberFormat="1" applyFont="1" applyFill="1" applyBorder="1" applyAlignment="1">
      <alignment vertical="center"/>
    </xf>
    <xf numFmtId="9" fontId="49" fillId="18" borderId="52" xfId="4" applyFont="1" applyFill="1" applyBorder="1" applyAlignment="1">
      <alignment horizontal="center" vertical="center"/>
    </xf>
    <xf numFmtId="42" fontId="56" fillId="10" borderId="0" xfId="0" applyNumberFormat="1" applyFont="1" applyFill="1" applyAlignment="1">
      <alignment vertical="center"/>
    </xf>
    <xf numFmtId="13" fontId="0" fillId="10" borderId="0" xfId="0" quotePrefix="1" applyNumberFormat="1" applyFill="1"/>
    <xf numFmtId="49" fontId="22" fillId="17" borderId="6" xfId="0" quotePrefix="1" applyNumberFormat="1" applyFont="1" applyFill="1" applyBorder="1" applyAlignment="1">
      <alignment horizontal="center" vertical="center" wrapText="1"/>
    </xf>
    <xf numFmtId="42" fontId="0" fillId="10" borderId="13" xfId="0" applyNumberFormat="1" applyFill="1" applyBorder="1"/>
    <xf numFmtId="42" fontId="0" fillId="10" borderId="6" xfId="0" applyNumberFormat="1" applyFill="1" applyBorder="1"/>
    <xf numFmtId="9" fontId="0" fillId="10" borderId="18" xfId="4" applyFont="1" applyFill="1" applyBorder="1" applyAlignment="1">
      <alignment horizontal="center"/>
    </xf>
    <xf numFmtId="42" fontId="22" fillId="17" borderId="47" xfId="0" applyNumberFormat="1" applyFont="1" applyFill="1" applyBorder="1" applyAlignment="1">
      <alignment horizontal="center" vertical="center" wrapText="1"/>
    </xf>
    <xf numFmtId="42" fontId="22" fillId="17" borderId="57" xfId="0" applyNumberFormat="1" applyFont="1" applyFill="1" applyBorder="1" applyAlignment="1">
      <alignment horizontal="center" vertical="center"/>
    </xf>
    <xf numFmtId="42" fontId="22" fillId="17" borderId="58" xfId="0" applyNumberFormat="1" applyFont="1" applyFill="1" applyBorder="1" applyAlignment="1">
      <alignment horizontal="center" vertical="center"/>
    </xf>
    <xf numFmtId="0" fontId="0" fillId="10" borderId="59" xfId="0" applyFill="1" applyBorder="1"/>
    <xf numFmtId="0" fontId="0" fillId="10" borderId="60" xfId="0" applyFill="1" applyBorder="1"/>
    <xf numFmtId="42" fontId="0" fillId="10" borderId="60" xfId="0" applyNumberFormat="1" applyFill="1" applyBorder="1"/>
    <xf numFmtId="0" fontId="0" fillId="10" borderId="61" xfId="0" applyFill="1" applyBorder="1"/>
    <xf numFmtId="0" fontId="6" fillId="10" borderId="62" xfId="0" applyFont="1" applyFill="1" applyBorder="1" applyAlignment="1">
      <alignment horizontal="left" indent="1"/>
    </xf>
    <xf numFmtId="0" fontId="0" fillId="10" borderId="63" xfId="0" applyFill="1" applyBorder="1"/>
    <xf numFmtId="0" fontId="5" fillId="10" borderId="62" xfId="0" applyFont="1" applyFill="1" applyBorder="1" applyAlignment="1">
      <alignment horizontal="left" indent="1"/>
    </xf>
    <xf numFmtId="0" fontId="5" fillId="10" borderId="62" xfId="0" quotePrefix="1" applyFont="1" applyFill="1" applyBorder="1" applyAlignment="1">
      <alignment horizontal="left" indent="6"/>
    </xf>
    <xf numFmtId="0" fontId="5" fillId="10" borderId="62" xfId="0" quotePrefix="1" applyFont="1" applyFill="1" applyBorder="1" applyAlignment="1">
      <alignment horizontal="left" indent="11"/>
    </xf>
    <xf numFmtId="0" fontId="0" fillId="10" borderId="57" xfId="0" applyFill="1" applyBorder="1"/>
    <xf numFmtId="0" fontId="0" fillId="10" borderId="64" xfId="0" applyFill="1" applyBorder="1"/>
    <xf numFmtId="42" fontId="0" fillId="10" borderId="64" xfId="0" applyNumberFormat="1" applyFill="1" applyBorder="1"/>
    <xf numFmtId="0" fontId="0" fillId="10" borderId="65" xfId="0" applyFill="1" applyBorder="1"/>
    <xf numFmtId="0" fontId="45" fillId="10" borderId="0" xfId="0" applyFont="1" applyFill="1" applyAlignment="1">
      <alignment wrapText="1"/>
    </xf>
    <xf numFmtId="0" fontId="7" fillId="10" borderId="1" xfId="0" applyFont="1" applyFill="1" applyBorder="1" applyAlignment="1">
      <alignment horizontal="left" vertical="center" wrapText="1"/>
    </xf>
    <xf numFmtId="0" fontId="11" fillId="10" borderId="3" xfId="0" applyFont="1" applyFill="1" applyBorder="1" applyAlignment="1">
      <alignment horizontal="left" vertical="center" wrapText="1"/>
    </xf>
    <xf numFmtId="0" fontId="11" fillId="10" borderId="4" xfId="0" applyFont="1" applyFill="1" applyBorder="1" applyAlignment="1">
      <alignment horizontal="left" vertical="center" wrapText="1"/>
    </xf>
    <xf numFmtId="0" fontId="11" fillId="10" borderId="5" xfId="0" applyFont="1" applyFill="1" applyBorder="1" applyAlignment="1">
      <alignment horizontal="left" vertical="center" wrapText="1"/>
    </xf>
    <xf numFmtId="0" fontId="11" fillId="10" borderId="6" xfId="0" applyFont="1" applyFill="1" applyBorder="1" applyAlignment="1">
      <alignment horizontal="left" vertical="center" wrapText="1"/>
    </xf>
    <xf numFmtId="0" fontId="11" fillId="10" borderId="2" xfId="0" applyFont="1" applyFill="1" applyBorder="1" applyAlignment="1">
      <alignment horizontal="left" vertical="center" wrapText="1"/>
    </xf>
    <xf numFmtId="0" fontId="11" fillId="10" borderId="7" xfId="0" applyFont="1" applyFill="1" applyBorder="1" applyAlignment="1">
      <alignment horizontal="left" vertical="center" wrapText="1"/>
    </xf>
    <xf numFmtId="0" fontId="5" fillId="10" borderId="1" xfId="0" applyFont="1" applyFill="1" applyBorder="1" applyAlignment="1">
      <alignment horizontal="left" vertical="center" wrapText="1"/>
    </xf>
    <xf numFmtId="0" fontId="7" fillId="10" borderId="3" xfId="0" applyFont="1" applyFill="1" applyBorder="1" applyAlignment="1">
      <alignment horizontal="left" vertical="center" wrapText="1"/>
    </xf>
    <xf numFmtId="0" fontId="7" fillId="10" borderId="4" xfId="0" applyFont="1" applyFill="1" applyBorder="1" applyAlignment="1">
      <alignment horizontal="left" vertical="center" wrapText="1"/>
    </xf>
    <xf numFmtId="0" fontId="7" fillId="10" borderId="5" xfId="0" applyFont="1" applyFill="1" applyBorder="1" applyAlignment="1">
      <alignment horizontal="left" vertical="center" wrapText="1"/>
    </xf>
    <xf numFmtId="0" fontId="7" fillId="10" borderId="6" xfId="0" applyFont="1" applyFill="1" applyBorder="1" applyAlignment="1">
      <alignment horizontal="left" vertical="center" wrapText="1"/>
    </xf>
    <xf numFmtId="0" fontId="7" fillId="10" borderId="2" xfId="0" applyFont="1" applyFill="1" applyBorder="1" applyAlignment="1">
      <alignment horizontal="left" vertical="center" wrapText="1"/>
    </xf>
    <xf numFmtId="0" fontId="7" fillId="10" borderId="7" xfId="0" applyFont="1" applyFill="1" applyBorder="1" applyAlignment="1">
      <alignment horizontal="left" vertical="center" wrapText="1"/>
    </xf>
    <xf numFmtId="0" fontId="2" fillId="10" borderId="8" xfId="0" applyFont="1" applyFill="1" applyBorder="1" applyAlignment="1">
      <alignment horizontal="left" vertical="center" wrapText="1"/>
    </xf>
    <xf numFmtId="0" fontId="2" fillId="10" borderId="9" xfId="0" applyFont="1" applyFill="1" applyBorder="1" applyAlignment="1">
      <alignment horizontal="left" vertical="center" wrapText="1"/>
    </xf>
    <xf numFmtId="0" fontId="2" fillId="10" borderId="10" xfId="0" applyFont="1" applyFill="1" applyBorder="1" applyAlignment="1">
      <alignment horizontal="left" vertical="center" wrapText="1"/>
    </xf>
    <xf numFmtId="0" fontId="7" fillId="10" borderId="8" xfId="0" applyFont="1" applyFill="1" applyBorder="1" applyAlignment="1">
      <alignment horizontal="left" vertical="center" wrapText="1"/>
    </xf>
    <xf numFmtId="0" fontId="7" fillId="10" borderId="9" xfId="0" applyFont="1" applyFill="1" applyBorder="1" applyAlignment="1">
      <alignment horizontal="left" vertical="center" wrapText="1"/>
    </xf>
    <xf numFmtId="0" fontId="7" fillId="10" borderId="10" xfId="0" applyFont="1" applyFill="1" applyBorder="1" applyAlignment="1">
      <alignment horizontal="left" vertical="center" wrapText="1"/>
    </xf>
    <xf numFmtId="0" fontId="7" fillId="10" borderId="14" xfId="0" applyFont="1" applyFill="1" applyBorder="1" applyAlignment="1">
      <alignment horizontal="center" vertical="center" wrapText="1"/>
    </xf>
    <xf numFmtId="0" fontId="7" fillId="10" borderId="15"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6" fillId="10" borderId="3" xfId="0" applyFont="1" applyFill="1" applyBorder="1" applyAlignment="1">
      <alignment horizontal="left" vertical="center" wrapText="1"/>
    </xf>
    <xf numFmtId="0" fontId="6" fillId="10" borderId="4" xfId="0" applyFont="1" applyFill="1" applyBorder="1" applyAlignment="1">
      <alignment horizontal="left" vertical="center" wrapText="1"/>
    </xf>
    <xf numFmtId="0" fontId="6" fillId="10" borderId="5" xfId="0" applyFont="1" applyFill="1" applyBorder="1" applyAlignment="1">
      <alignment horizontal="left" vertical="center" wrapText="1"/>
    </xf>
    <xf numFmtId="0" fontId="6" fillId="10" borderId="11" xfId="0" applyFont="1" applyFill="1" applyBorder="1" applyAlignment="1">
      <alignment horizontal="left" vertical="center" wrapText="1"/>
    </xf>
    <xf numFmtId="0" fontId="6" fillId="10" borderId="0" xfId="0" applyFont="1" applyFill="1" applyAlignment="1">
      <alignment horizontal="left" vertical="center" wrapText="1"/>
    </xf>
    <xf numFmtId="0" fontId="6" fillId="10" borderId="12" xfId="0" applyFont="1" applyFill="1" applyBorder="1" applyAlignment="1">
      <alignment horizontal="left" vertical="center" wrapText="1"/>
    </xf>
    <xf numFmtId="0" fontId="6" fillId="10" borderId="6" xfId="0" applyFont="1" applyFill="1" applyBorder="1" applyAlignment="1">
      <alignment horizontal="left" vertical="center" wrapText="1"/>
    </xf>
    <xf numFmtId="0" fontId="6" fillId="10" borderId="2" xfId="0" applyFont="1" applyFill="1" applyBorder="1" applyAlignment="1">
      <alignment horizontal="left" vertical="center" wrapText="1"/>
    </xf>
    <xf numFmtId="0" fontId="6" fillId="10" borderId="7" xfId="0" applyFont="1" applyFill="1" applyBorder="1" applyAlignment="1">
      <alignment horizontal="left" vertical="center" wrapText="1"/>
    </xf>
    <xf numFmtId="0" fontId="11" fillId="10" borderId="35" xfId="0" applyFont="1" applyFill="1" applyBorder="1" applyAlignment="1">
      <alignment horizontal="left" vertical="center"/>
    </xf>
    <xf numFmtId="0" fontId="11" fillId="10" borderId="36" xfId="0" applyFont="1" applyFill="1" applyBorder="1" applyAlignment="1">
      <alignment horizontal="left" vertical="center"/>
    </xf>
    <xf numFmtId="0" fontId="11" fillId="10" borderId="37" xfId="0" applyFont="1" applyFill="1" applyBorder="1" applyAlignment="1">
      <alignment horizontal="left" vertical="center"/>
    </xf>
    <xf numFmtId="0" fontId="6" fillId="10" borderId="1" xfId="0" applyFont="1" applyFill="1" applyBorder="1" applyAlignment="1">
      <alignment horizontal="left" vertical="center" wrapText="1"/>
    </xf>
    <xf numFmtId="0" fontId="2" fillId="10" borderId="1" xfId="0" applyFont="1" applyFill="1" applyBorder="1" applyAlignment="1">
      <alignment horizontal="left" vertical="center" wrapText="1"/>
    </xf>
    <xf numFmtId="0" fontId="7" fillId="10" borderId="3" xfId="0" applyFont="1" applyFill="1" applyBorder="1" applyAlignment="1">
      <alignment horizontal="left" vertical="top" wrapText="1"/>
    </xf>
    <xf numFmtId="0" fontId="7" fillId="10" borderId="4" xfId="0" applyFont="1" applyFill="1" applyBorder="1" applyAlignment="1">
      <alignment horizontal="left" vertical="top" wrapText="1"/>
    </xf>
    <xf numFmtId="0" fontId="7" fillId="10" borderId="5" xfId="0" applyFont="1" applyFill="1" applyBorder="1" applyAlignment="1">
      <alignment horizontal="left" vertical="top" wrapText="1"/>
    </xf>
    <xf numFmtId="0" fontId="11" fillId="10" borderId="14" xfId="0" applyFont="1" applyFill="1" applyBorder="1" applyAlignment="1">
      <alignment horizontal="center" vertical="center"/>
    </xf>
    <xf numFmtId="0" fontId="11" fillId="10" borderId="15" xfId="0" applyFont="1" applyFill="1" applyBorder="1" applyAlignment="1">
      <alignment horizontal="center" vertical="center"/>
    </xf>
    <xf numFmtId="0" fontId="11" fillId="10" borderId="16" xfId="0" applyFont="1" applyFill="1" applyBorder="1" applyAlignment="1">
      <alignment horizontal="center" vertical="center"/>
    </xf>
    <xf numFmtId="0" fontId="7" fillId="10" borderId="8" xfId="0" applyFont="1" applyFill="1" applyBorder="1" applyAlignment="1">
      <alignment horizontal="left" vertical="top" wrapText="1"/>
    </xf>
    <xf numFmtId="0" fontId="7" fillId="10" borderId="9" xfId="0" applyFont="1" applyFill="1" applyBorder="1" applyAlignment="1">
      <alignment horizontal="left" vertical="top" wrapText="1"/>
    </xf>
    <xf numFmtId="0" fontId="7" fillId="10" borderId="10" xfId="0" applyFont="1" applyFill="1" applyBorder="1" applyAlignment="1">
      <alignment horizontal="left" vertical="top" wrapText="1"/>
    </xf>
    <xf numFmtId="0" fontId="2" fillId="10" borderId="8" xfId="0" applyFont="1" applyFill="1" applyBorder="1" applyAlignment="1">
      <alignment horizontal="left" vertical="center"/>
    </xf>
    <xf numFmtId="0" fontId="2" fillId="10" borderId="9" xfId="0" applyFont="1" applyFill="1" applyBorder="1" applyAlignment="1">
      <alignment horizontal="left" vertical="center"/>
    </xf>
    <xf numFmtId="0" fontId="2" fillId="10" borderId="10" xfId="0" applyFont="1" applyFill="1" applyBorder="1" applyAlignment="1">
      <alignment horizontal="left" vertical="center"/>
    </xf>
    <xf numFmtId="0" fontId="7" fillId="10" borderId="1" xfId="0" applyFont="1" applyFill="1" applyBorder="1" applyAlignment="1">
      <alignment horizontal="left" vertical="top" wrapText="1"/>
    </xf>
    <xf numFmtId="0" fontId="6" fillId="10" borderId="8" xfId="0" applyFont="1" applyFill="1" applyBorder="1" applyAlignment="1">
      <alignment horizontal="left" vertical="center" wrapText="1"/>
    </xf>
    <xf numFmtId="0" fontId="6" fillId="10" borderId="10" xfId="0" applyFont="1" applyFill="1" applyBorder="1" applyAlignment="1">
      <alignment horizontal="left" vertical="center" wrapText="1"/>
    </xf>
    <xf numFmtId="0" fontId="27" fillId="10" borderId="8" xfId="0" applyFont="1" applyFill="1" applyBorder="1" applyAlignment="1">
      <alignment horizontal="right" vertical="center"/>
    </xf>
    <xf numFmtId="0" fontId="27" fillId="10" borderId="10" xfId="0" applyFont="1" applyFill="1" applyBorder="1" applyAlignment="1">
      <alignment horizontal="right" vertical="center"/>
    </xf>
    <xf numFmtId="0" fontId="25" fillId="10" borderId="8" xfId="0" applyFont="1" applyFill="1" applyBorder="1" applyAlignment="1">
      <alignment horizontal="left" vertical="center"/>
    </xf>
    <xf numFmtId="0" fontId="25" fillId="10" borderId="10" xfId="0" applyFont="1" applyFill="1" applyBorder="1" applyAlignment="1">
      <alignment horizontal="left" vertical="center"/>
    </xf>
    <xf numFmtId="0" fontId="5" fillId="10" borderId="8" xfId="0" applyFont="1" applyFill="1" applyBorder="1" applyAlignment="1">
      <alignment horizontal="left" vertical="center"/>
    </xf>
    <xf numFmtId="0" fontId="5" fillId="10" borderId="10" xfId="0" applyFont="1" applyFill="1" applyBorder="1" applyAlignment="1">
      <alignment horizontal="left" vertical="center"/>
    </xf>
    <xf numFmtId="0" fontId="5" fillId="8" borderId="8" xfId="0" applyFont="1" applyFill="1" applyBorder="1" applyAlignment="1">
      <alignment horizontal="left" vertical="center"/>
    </xf>
    <xf numFmtId="0" fontId="5" fillId="8" borderId="10" xfId="0" applyFont="1" applyFill="1" applyBorder="1" applyAlignment="1">
      <alignment horizontal="left" vertical="center"/>
    </xf>
    <xf numFmtId="0" fontId="5" fillId="10" borderId="8" xfId="0" applyFont="1" applyFill="1" applyBorder="1" applyAlignment="1">
      <alignment horizontal="left"/>
    </xf>
    <xf numFmtId="0" fontId="5" fillId="10" borderId="10" xfId="0" applyFont="1" applyFill="1" applyBorder="1" applyAlignment="1">
      <alignment horizontal="left"/>
    </xf>
    <xf numFmtId="0" fontId="6" fillId="10" borderId="1" xfId="0" applyFont="1" applyFill="1" applyBorder="1" applyAlignment="1">
      <alignment horizontal="left" vertical="center"/>
    </xf>
    <xf numFmtId="0" fontId="5" fillId="10" borderId="8" xfId="0" applyFont="1" applyFill="1" applyBorder="1" applyAlignment="1">
      <alignment horizontal="left" vertical="center" wrapText="1"/>
    </xf>
    <xf numFmtId="0" fontId="5" fillId="10" borderId="10" xfId="0" applyFont="1" applyFill="1" applyBorder="1" applyAlignment="1">
      <alignment horizontal="left" vertical="center" wrapText="1"/>
    </xf>
    <xf numFmtId="0" fontId="5" fillId="10" borderId="6" xfId="0" applyFont="1" applyFill="1" applyBorder="1" applyAlignment="1">
      <alignment horizontal="left" vertical="center"/>
    </xf>
    <xf numFmtId="0" fontId="5" fillId="10" borderId="7" xfId="0" applyFont="1" applyFill="1" applyBorder="1" applyAlignment="1">
      <alignment horizontal="left" vertical="center"/>
    </xf>
    <xf numFmtId="0" fontId="6" fillId="8" borderId="1" xfId="0" applyFont="1" applyFill="1" applyBorder="1" applyAlignment="1">
      <alignment horizontal="left" vertical="center" wrapText="1"/>
    </xf>
    <xf numFmtId="0" fontId="6" fillId="9" borderId="1" xfId="0" applyFont="1" applyFill="1" applyBorder="1" applyAlignment="1">
      <alignment horizontal="left" vertical="center" wrapText="1"/>
    </xf>
    <xf numFmtId="0" fontId="6" fillId="7" borderId="1" xfId="0" applyFont="1" applyFill="1" applyBorder="1" applyAlignment="1">
      <alignment horizontal="left" vertical="center" wrapText="1"/>
    </xf>
    <xf numFmtId="0" fontId="0" fillId="10" borderId="14" xfId="0" applyFill="1" applyBorder="1" applyAlignment="1">
      <alignment horizontal="center" vertical="center"/>
    </xf>
    <xf numFmtId="0" fontId="0" fillId="10" borderId="15" xfId="0" applyFill="1" applyBorder="1" applyAlignment="1">
      <alignment horizontal="center" vertical="center"/>
    </xf>
    <xf numFmtId="0" fontId="0" fillId="10" borderId="16" xfId="0" applyFill="1" applyBorder="1" applyAlignment="1">
      <alignment horizontal="center" vertical="center"/>
    </xf>
    <xf numFmtId="0" fontId="49" fillId="18" borderId="23" xfId="0" applyFont="1" applyFill="1" applyBorder="1" applyAlignment="1">
      <alignment horizontal="right" vertical="center"/>
    </xf>
    <xf numFmtId="0" fontId="49" fillId="18" borderId="24" xfId="0" applyFont="1" applyFill="1" applyBorder="1" applyAlignment="1">
      <alignment horizontal="right" vertical="center"/>
    </xf>
    <xf numFmtId="0" fontId="48" fillId="14" borderId="21" xfId="0" applyFont="1" applyFill="1" applyBorder="1" applyAlignment="1">
      <alignment horizontal="right"/>
    </xf>
    <xf numFmtId="0" fontId="48" fillId="14" borderId="1" xfId="0" applyFont="1" applyFill="1" applyBorder="1" applyAlignment="1">
      <alignment horizontal="right"/>
    </xf>
    <xf numFmtId="0" fontId="47" fillId="3" borderId="21" xfId="0" applyFont="1" applyFill="1" applyBorder="1" applyAlignment="1">
      <alignment horizontal="center" vertical="center" wrapText="1"/>
    </xf>
    <xf numFmtId="0" fontId="28" fillId="14" borderId="21" xfId="0" applyFont="1" applyFill="1" applyBorder="1" applyAlignment="1">
      <alignment horizontal="right"/>
    </xf>
    <xf numFmtId="0" fontId="28" fillId="14" borderId="1" xfId="0" applyFont="1" applyFill="1" applyBorder="1" applyAlignment="1">
      <alignment horizontal="right"/>
    </xf>
    <xf numFmtId="49" fontId="5" fillId="10" borderId="0" xfId="0" quotePrefix="1" applyNumberFormat="1" applyFont="1" applyFill="1" applyAlignment="1">
      <alignment horizontal="left" vertical="center" wrapText="1"/>
    </xf>
    <xf numFmtId="0" fontId="54" fillId="16" borderId="55" xfId="0" applyFont="1" applyFill="1" applyBorder="1" applyAlignment="1">
      <alignment horizontal="center"/>
    </xf>
    <xf numFmtId="0" fontId="54" fillId="16" borderId="56" xfId="0" applyFont="1" applyFill="1" applyBorder="1" applyAlignment="1">
      <alignment horizontal="center"/>
    </xf>
    <xf numFmtId="0" fontId="54" fillId="16" borderId="54" xfId="0" applyFont="1" applyFill="1" applyBorder="1" applyAlignment="1">
      <alignment horizontal="center"/>
    </xf>
    <xf numFmtId="0" fontId="47" fillId="3" borderId="21" xfId="0" applyFont="1" applyFill="1" applyBorder="1" applyAlignment="1">
      <alignment horizontal="center" vertical="center"/>
    </xf>
    <xf numFmtId="0" fontId="48" fillId="17" borderId="21" xfId="0" applyFont="1" applyFill="1" applyBorder="1" applyAlignment="1">
      <alignment horizontal="right"/>
    </xf>
    <xf numFmtId="0" fontId="48" fillId="17" borderId="1" xfId="0" applyFont="1" applyFill="1" applyBorder="1" applyAlignment="1">
      <alignment horizontal="right"/>
    </xf>
    <xf numFmtId="0" fontId="28" fillId="17" borderId="21" xfId="0" applyFont="1" applyFill="1" applyBorder="1" applyAlignment="1">
      <alignment horizontal="right"/>
    </xf>
    <xf numFmtId="0" fontId="28" fillId="17" borderId="1" xfId="0" applyFont="1" applyFill="1" applyBorder="1" applyAlignment="1">
      <alignment horizontal="right"/>
    </xf>
    <xf numFmtId="0" fontId="49" fillId="15" borderId="23" xfId="0" applyFont="1" applyFill="1" applyBorder="1" applyAlignment="1">
      <alignment horizontal="right" vertical="center"/>
    </xf>
    <xf numFmtId="0" fontId="49" fillId="15" borderId="24" xfId="0" applyFont="1" applyFill="1" applyBorder="1" applyAlignment="1">
      <alignment horizontal="right" vertical="center"/>
    </xf>
    <xf numFmtId="0" fontId="54" fillId="18" borderId="14" xfId="0" applyFont="1" applyFill="1" applyBorder="1" applyAlignment="1">
      <alignment horizontal="center"/>
    </xf>
    <xf numFmtId="0" fontId="54" fillId="18" borderId="15" xfId="0" applyFont="1" applyFill="1" applyBorder="1" applyAlignment="1">
      <alignment horizontal="center"/>
    </xf>
    <xf numFmtId="0" fontId="54" fillId="18" borderId="16" xfId="0" applyFont="1" applyFill="1" applyBorder="1" applyAlignment="1">
      <alignment horizont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2" defaultPivotStyle="PivotStyleLight16"/>
  <colors>
    <mruColors>
      <color rgb="FF266FC0"/>
      <color rgb="FF0066FF"/>
      <color rgb="FFACD498"/>
      <color rgb="FF008000"/>
      <color rgb="FF008A00"/>
      <color rgb="FFA6A6A6"/>
      <color rgb="FF656565"/>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17</xdr:row>
      <xdr:rowOff>171450</xdr:rowOff>
    </xdr:from>
    <xdr:to>
      <xdr:col>1</xdr:col>
      <xdr:colOff>3286125</xdr:colOff>
      <xdr:row>47</xdr:row>
      <xdr:rowOff>133350</xdr:rowOff>
    </xdr:to>
    <xdr:pic>
      <xdr:nvPicPr>
        <xdr:cNvPr id="6" name="Picture 5">
          <a:extLst>
            <a:ext uri="{FF2B5EF4-FFF2-40B4-BE49-F238E27FC236}">
              <a16:creationId xmlns:a16="http://schemas.microsoft.com/office/drawing/2014/main" id="{66EE1694-BD0C-6EB0-1CD5-681FD082E17D}"/>
            </a:ext>
          </a:extLst>
        </xdr:cNvPr>
        <xdr:cNvPicPr>
          <a:picLocks noChangeAspect="1"/>
        </xdr:cNvPicPr>
      </xdr:nvPicPr>
      <xdr:blipFill>
        <a:blip xmlns:r="http://schemas.openxmlformats.org/officeDocument/2006/relationships" r:embed="rId1"/>
        <a:stretch>
          <a:fillRect/>
        </a:stretch>
      </xdr:blipFill>
      <xdr:spPr>
        <a:xfrm>
          <a:off x="276225" y="3619500"/>
          <a:ext cx="3324225" cy="5391150"/>
        </a:xfrm>
        <a:prstGeom prst="rect">
          <a:avLst/>
        </a:prstGeom>
      </xdr:spPr>
    </xdr:pic>
    <xdr:clientData/>
  </xdr:twoCellAnchor>
  <xdr:twoCellAnchor editAs="oneCell">
    <xdr:from>
      <xdr:col>1</xdr:col>
      <xdr:colOff>10677525</xdr:colOff>
      <xdr:row>17</xdr:row>
      <xdr:rowOff>171450</xdr:rowOff>
    </xdr:from>
    <xdr:to>
      <xdr:col>3</xdr:col>
      <xdr:colOff>216712</xdr:colOff>
      <xdr:row>37</xdr:row>
      <xdr:rowOff>152400</xdr:rowOff>
    </xdr:to>
    <xdr:pic>
      <xdr:nvPicPr>
        <xdr:cNvPr id="9" name="Picture 8">
          <a:extLst>
            <a:ext uri="{FF2B5EF4-FFF2-40B4-BE49-F238E27FC236}">
              <a16:creationId xmlns:a16="http://schemas.microsoft.com/office/drawing/2014/main" id="{8576EAB4-C9CB-F059-C260-E72A39B235E2}"/>
            </a:ext>
            <a:ext uri="{147F2762-F138-4A5C-976F-8EAC2B608ADB}">
              <a16:predDERef xmlns:a16="http://schemas.microsoft.com/office/drawing/2014/main" pred="{66EE1694-BD0C-6EB0-1CD5-681FD082E17D}"/>
            </a:ext>
          </a:extLst>
        </xdr:cNvPr>
        <xdr:cNvPicPr>
          <a:picLocks noChangeAspect="1"/>
        </xdr:cNvPicPr>
      </xdr:nvPicPr>
      <xdr:blipFill>
        <a:blip xmlns:r="http://schemas.openxmlformats.org/officeDocument/2006/relationships" r:embed="rId2"/>
        <a:stretch>
          <a:fillRect/>
        </a:stretch>
      </xdr:blipFill>
      <xdr:spPr>
        <a:xfrm>
          <a:off x="11007725" y="3670300"/>
          <a:ext cx="2385237" cy="3663950"/>
        </a:xfrm>
        <a:prstGeom prst="rect">
          <a:avLst/>
        </a:prstGeom>
      </xdr:spPr>
    </xdr:pic>
    <xdr:clientData/>
  </xdr:twoCellAnchor>
  <xdr:twoCellAnchor editAs="oneCell">
    <xdr:from>
      <xdr:col>1</xdr:col>
      <xdr:colOff>3476625</xdr:colOff>
      <xdr:row>17</xdr:row>
      <xdr:rowOff>142875</xdr:rowOff>
    </xdr:from>
    <xdr:to>
      <xdr:col>1</xdr:col>
      <xdr:colOff>6896100</xdr:colOff>
      <xdr:row>47</xdr:row>
      <xdr:rowOff>142875</xdr:rowOff>
    </xdr:to>
    <xdr:pic>
      <xdr:nvPicPr>
        <xdr:cNvPr id="2" name="Picture 1">
          <a:extLst>
            <a:ext uri="{FF2B5EF4-FFF2-40B4-BE49-F238E27FC236}">
              <a16:creationId xmlns:a16="http://schemas.microsoft.com/office/drawing/2014/main" id="{C703C3B6-B67A-2C5A-F8DE-85F742AB7024}"/>
            </a:ext>
            <a:ext uri="{147F2762-F138-4A5C-976F-8EAC2B608ADB}">
              <a16:predDERef xmlns:a16="http://schemas.microsoft.com/office/drawing/2014/main" pred="{8576EAB4-C9CB-F059-C260-E72A39B235E2}"/>
            </a:ext>
          </a:extLst>
        </xdr:cNvPr>
        <xdr:cNvPicPr>
          <a:picLocks noChangeAspect="1"/>
        </xdr:cNvPicPr>
      </xdr:nvPicPr>
      <xdr:blipFill>
        <a:blip xmlns:r="http://schemas.openxmlformats.org/officeDocument/2006/relationships" r:embed="rId3"/>
        <a:stretch>
          <a:fillRect/>
        </a:stretch>
      </xdr:blipFill>
      <xdr:spPr>
        <a:xfrm>
          <a:off x="3790950" y="3590925"/>
          <a:ext cx="3419475" cy="5429250"/>
        </a:xfrm>
        <a:prstGeom prst="rect">
          <a:avLst/>
        </a:prstGeom>
      </xdr:spPr>
    </xdr:pic>
    <xdr:clientData/>
  </xdr:twoCellAnchor>
  <xdr:twoCellAnchor editAs="oneCell">
    <xdr:from>
      <xdr:col>1</xdr:col>
      <xdr:colOff>7096125</xdr:colOff>
      <xdr:row>17</xdr:row>
      <xdr:rowOff>161925</xdr:rowOff>
    </xdr:from>
    <xdr:to>
      <xdr:col>1</xdr:col>
      <xdr:colOff>10477500</xdr:colOff>
      <xdr:row>47</xdr:row>
      <xdr:rowOff>142875</xdr:rowOff>
    </xdr:to>
    <xdr:pic>
      <xdr:nvPicPr>
        <xdr:cNvPr id="3" name="Picture 2">
          <a:extLst>
            <a:ext uri="{FF2B5EF4-FFF2-40B4-BE49-F238E27FC236}">
              <a16:creationId xmlns:a16="http://schemas.microsoft.com/office/drawing/2014/main" id="{87DA100E-2858-683B-22CB-76AD7CCAE33C}"/>
            </a:ext>
            <a:ext uri="{147F2762-F138-4A5C-976F-8EAC2B608ADB}">
              <a16:predDERef xmlns:a16="http://schemas.microsoft.com/office/drawing/2014/main" pred="{C703C3B6-B67A-2C5A-F8DE-85F742AB7024}"/>
            </a:ext>
          </a:extLst>
        </xdr:cNvPr>
        <xdr:cNvPicPr>
          <a:picLocks noChangeAspect="1"/>
        </xdr:cNvPicPr>
      </xdr:nvPicPr>
      <xdr:blipFill>
        <a:blip xmlns:r="http://schemas.openxmlformats.org/officeDocument/2006/relationships" r:embed="rId4"/>
        <a:stretch>
          <a:fillRect/>
        </a:stretch>
      </xdr:blipFill>
      <xdr:spPr>
        <a:xfrm>
          <a:off x="7410450" y="3609975"/>
          <a:ext cx="3381375" cy="5410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66676</xdr:colOff>
      <xdr:row>21</xdr:row>
      <xdr:rowOff>85726</xdr:rowOff>
    </xdr:from>
    <xdr:to>
      <xdr:col>1</xdr:col>
      <xdr:colOff>7191376</xdr:colOff>
      <xdr:row>44</xdr:row>
      <xdr:rowOff>148036</xdr:rowOff>
    </xdr:to>
    <xdr:pic>
      <xdr:nvPicPr>
        <xdr:cNvPr id="3" name="Picture 2">
          <a:extLst>
            <a:ext uri="{FF2B5EF4-FFF2-40B4-BE49-F238E27FC236}">
              <a16:creationId xmlns:a16="http://schemas.microsoft.com/office/drawing/2014/main" id="{FF773142-7FE0-D3A2-E9F0-989945685BE7}"/>
            </a:ext>
          </a:extLst>
        </xdr:cNvPr>
        <xdr:cNvPicPr>
          <a:picLocks noChangeAspect="1"/>
        </xdr:cNvPicPr>
      </xdr:nvPicPr>
      <xdr:blipFill>
        <a:blip xmlns:r="http://schemas.openxmlformats.org/officeDocument/2006/relationships" r:embed="rId1"/>
        <a:stretch>
          <a:fillRect/>
        </a:stretch>
      </xdr:blipFill>
      <xdr:spPr>
        <a:xfrm>
          <a:off x="381001" y="7219951"/>
          <a:ext cx="7124700" cy="44438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ilsagfiles.org/SAG_files/Evaluation_Documents/TRC_Reports/DCEO/Department_of_Commerce_Cost_Effectiveness_Report_EPY7-GPY4_Final_Report.pdf" TargetMode="External"/><Relationship Id="rId7" Type="http://schemas.openxmlformats.org/officeDocument/2006/relationships/printerSettings" Target="../printerSettings/printerSettings3.bin"/><Relationship Id="rId2" Type="http://schemas.openxmlformats.org/officeDocument/2006/relationships/hyperlink" Target="https://www.icc.illinois.gov/downloads/public/edocket/303831.pdf" TargetMode="External"/><Relationship Id="rId1" Type="http://schemas.openxmlformats.org/officeDocument/2006/relationships/hyperlink" Target="http://ilsagfiles.org/SAG_files/Evaluation_Documents/TRC_Reports/Ameren_IL/AIU_PY1_Cost-effectiveness_analysis_only.pdf" TargetMode="External"/><Relationship Id="rId6" Type="http://schemas.openxmlformats.org/officeDocument/2006/relationships/hyperlink" Target="http://ilsagfiles.org/SAG_files/Evaluation_Documents/TRC_Reports/DCEO/Department_of_Commerce_Cost_Effectiveness_Report_EPY7-GPY4_Final_Report.pdf" TargetMode="External"/><Relationship Id="rId5" Type="http://schemas.openxmlformats.org/officeDocument/2006/relationships/hyperlink" Target="https://www.icc.illinois.gov/downloads/public/edocket/501631.pdf" TargetMode="External"/><Relationship Id="rId4" Type="http://schemas.openxmlformats.org/officeDocument/2006/relationships/hyperlink" Target="https://www.icc.illinois.gov/downloads/public/edocket/50163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90"/>
  <sheetViews>
    <sheetView tabSelected="1" topLeftCell="A18" zoomScaleNormal="100" workbookViewId="0">
      <pane xSplit="2" ySplit="4" topLeftCell="C22" activePane="bottomRight" state="frozen"/>
      <selection pane="topRight" activeCell="C18" sqref="C18"/>
      <selection pane="bottomLeft" activeCell="A22" sqref="A22"/>
      <selection pane="bottomRight" activeCell="C22" sqref="C22"/>
    </sheetView>
  </sheetViews>
  <sheetFormatPr defaultColWidth="9.1796875" defaultRowHeight="14.5" x14ac:dyDescent="0.35"/>
  <cols>
    <col min="1" max="1" width="2.81640625" style="45" customWidth="1"/>
    <col min="2" max="2" width="64.7265625" style="45" customWidth="1"/>
    <col min="3" max="12" width="17.7265625" style="45" customWidth="1"/>
    <col min="13" max="24" width="19.26953125" style="45" customWidth="1"/>
    <col min="25" max="16384" width="9.1796875" style="45"/>
  </cols>
  <sheetData>
    <row r="1" spans="2:24" x14ac:dyDescent="0.35">
      <c r="B1" s="46" t="s">
        <v>0</v>
      </c>
      <c r="C1" s="46"/>
    </row>
    <row r="2" spans="2:24" x14ac:dyDescent="0.35">
      <c r="B2" s="46" t="s">
        <v>1</v>
      </c>
      <c r="C2" s="46"/>
    </row>
    <row r="3" spans="2:24" x14ac:dyDescent="0.35">
      <c r="B3" s="46" t="s">
        <v>2</v>
      </c>
      <c r="C3" s="46"/>
    </row>
    <row r="4" spans="2:24" x14ac:dyDescent="0.35">
      <c r="B4" s="46"/>
      <c r="C4" s="46"/>
    </row>
    <row r="5" spans="2:24" ht="42" customHeight="1" x14ac:dyDescent="0.35">
      <c r="B5" s="411" t="s">
        <v>3</v>
      </c>
      <c r="C5" s="412"/>
      <c r="D5" s="412"/>
      <c r="E5" s="412"/>
      <c r="F5" s="412"/>
      <c r="G5" s="412"/>
      <c r="H5" s="412"/>
      <c r="I5" s="412"/>
      <c r="J5" s="412"/>
      <c r="K5" s="412"/>
      <c r="L5" s="412"/>
      <c r="M5" s="412"/>
      <c r="N5" s="412"/>
      <c r="O5" s="412"/>
      <c r="P5" s="412"/>
      <c r="Q5" s="412"/>
      <c r="R5" s="412"/>
      <c r="S5" s="412"/>
      <c r="T5" s="412"/>
      <c r="U5" s="412"/>
      <c r="V5" s="412"/>
      <c r="W5" s="412"/>
      <c r="X5" s="413"/>
    </row>
    <row r="6" spans="2:24" ht="23.15" customHeight="1" x14ac:dyDescent="0.35">
      <c r="B6" s="414"/>
      <c r="C6" s="415"/>
      <c r="D6" s="415"/>
      <c r="E6" s="415"/>
      <c r="F6" s="415"/>
      <c r="G6" s="415"/>
      <c r="H6" s="415"/>
      <c r="I6" s="415"/>
      <c r="J6" s="415"/>
      <c r="K6" s="415"/>
      <c r="L6" s="415"/>
      <c r="M6" s="415"/>
      <c r="N6" s="415"/>
      <c r="O6" s="415"/>
      <c r="P6" s="415"/>
      <c r="Q6" s="415"/>
      <c r="R6" s="415"/>
      <c r="S6" s="415"/>
      <c r="T6" s="415"/>
      <c r="U6" s="415"/>
      <c r="V6" s="415"/>
      <c r="W6" s="415"/>
      <c r="X6" s="416"/>
    </row>
    <row r="7" spans="2:24" x14ac:dyDescent="0.35">
      <c r="B7" s="85"/>
      <c r="C7" s="46"/>
    </row>
    <row r="8" spans="2:24" ht="14.5" customHeight="1" x14ac:dyDescent="0.35">
      <c r="B8" s="417" t="s">
        <v>4</v>
      </c>
      <c r="C8" s="417"/>
      <c r="D8" s="417"/>
      <c r="E8" s="417"/>
      <c r="F8" s="417"/>
      <c r="G8" s="417"/>
      <c r="H8" s="417"/>
      <c r="I8" s="417"/>
      <c r="J8" s="417"/>
      <c r="K8" s="417"/>
      <c r="L8" s="417"/>
      <c r="M8" s="417"/>
      <c r="N8" s="417"/>
      <c r="O8" s="417"/>
      <c r="P8" s="417"/>
      <c r="Q8" s="417"/>
      <c r="R8" s="417"/>
      <c r="S8" s="417"/>
      <c r="T8" s="417"/>
      <c r="U8" s="417"/>
      <c r="V8" s="417"/>
      <c r="W8" s="417"/>
      <c r="X8" s="417"/>
    </row>
    <row r="9" spans="2:24" ht="12.65" customHeight="1" x14ac:dyDescent="0.35">
      <c r="B9" s="417"/>
      <c r="C9" s="417"/>
      <c r="D9" s="417"/>
      <c r="E9" s="417"/>
      <c r="F9" s="417"/>
      <c r="G9" s="417"/>
      <c r="H9" s="417"/>
      <c r="I9" s="417"/>
      <c r="J9" s="417"/>
      <c r="K9" s="417"/>
      <c r="L9" s="417"/>
      <c r="M9" s="417"/>
      <c r="N9" s="417"/>
      <c r="O9" s="417"/>
      <c r="P9" s="417"/>
      <c r="Q9" s="417"/>
      <c r="R9" s="417"/>
      <c r="S9" s="417"/>
      <c r="T9" s="417"/>
      <c r="U9" s="417"/>
      <c r="V9" s="417"/>
      <c r="W9" s="417"/>
      <c r="X9" s="417"/>
    </row>
    <row r="10" spans="2:24" ht="15" customHeight="1" x14ac:dyDescent="0.35">
      <c r="B10" s="417"/>
      <c r="C10" s="417"/>
      <c r="D10" s="417"/>
      <c r="E10" s="417"/>
      <c r="F10" s="417"/>
      <c r="G10" s="417"/>
      <c r="H10" s="417"/>
      <c r="I10" s="417"/>
      <c r="J10" s="417"/>
      <c r="K10" s="417"/>
      <c r="L10" s="417"/>
      <c r="M10" s="417"/>
      <c r="N10" s="417"/>
      <c r="O10" s="417"/>
      <c r="P10" s="417"/>
      <c r="Q10" s="417"/>
      <c r="R10" s="417"/>
      <c r="S10" s="417"/>
      <c r="T10" s="417"/>
      <c r="U10" s="417"/>
      <c r="V10" s="417"/>
      <c r="W10" s="417"/>
      <c r="X10" s="417"/>
    </row>
    <row r="11" spans="2:24" ht="15" customHeight="1" x14ac:dyDescent="0.35">
      <c r="B11" s="417"/>
      <c r="C11" s="417"/>
      <c r="D11" s="417"/>
      <c r="E11" s="417"/>
      <c r="F11" s="417"/>
      <c r="G11" s="417"/>
      <c r="H11" s="417"/>
      <c r="I11" s="417"/>
      <c r="J11" s="417"/>
      <c r="K11" s="417"/>
      <c r="L11" s="417"/>
      <c r="M11" s="417"/>
      <c r="N11" s="417"/>
      <c r="O11" s="417"/>
      <c r="P11" s="417"/>
      <c r="Q11" s="417"/>
      <c r="R11" s="417"/>
      <c r="S11" s="417"/>
      <c r="T11" s="417"/>
      <c r="U11" s="417"/>
      <c r="V11" s="417"/>
      <c r="W11" s="417"/>
      <c r="X11" s="417"/>
    </row>
    <row r="12" spans="2:24" ht="15" customHeight="1" x14ac:dyDescent="0.35">
      <c r="B12" s="417"/>
      <c r="C12" s="417"/>
      <c r="D12" s="417"/>
      <c r="E12" s="417"/>
      <c r="F12" s="417"/>
      <c r="G12" s="417"/>
      <c r="H12" s="417"/>
      <c r="I12" s="417"/>
      <c r="J12" s="417"/>
      <c r="K12" s="417"/>
      <c r="L12" s="417"/>
      <c r="M12" s="417"/>
      <c r="N12" s="417"/>
      <c r="O12" s="417"/>
      <c r="P12" s="417"/>
      <c r="Q12" s="417"/>
      <c r="R12" s="417"/>
      <c r="S12" s="417"/>
      <c r="T12" s="417"/>
      <c r="U12" s="417"/>
      <c r="V12" s="417"/>
      <c r="W12" s="417"/>
      <c r="X12" s="417"/>
    </row>
    <row r="13" spans="2:24" ht="15" customHeight="1" x14ac:dyDescent="0.35">
      <c r="B13" s="417"/>
      <c r="C13" s="417"/>
      <c r="D13" s="417"/>
      <c r="E13" s="417"/>
      <c r="F13" s="417"/>
      <c r="G13" s="417"/>
      <c r="H13" s="417"/>
      <c r="I13" s="417"/>
      <c r="J13" s="417"/>
      <c r="K13" s="417"/>
      <c r="L13" s="417"/>
      <c r="M13" s="417"/>
      <c r="N13" s="417"/>
      <c r="O13" s="417"/>
      <c r="P13" s="417"/>
      <c r="Q13" s="417"/>
      <c r="R13" s="417"/>
      <c r="S13" s="417"/>
      <c r="T13" s="417"/>
      <c r="U13" s="417"/>
      <c r="V13" s="417"/>
      <c r="W13" s="417"/>
      <c r="X13" s="417"/>
    </row>
    <row r="14" spans="2:24" ht="17.5" customHeight="1" x14ac:dyDescent="0.35">
      <c r="B14" s="417"/>
      <c r="C14" s="417"/>
      <c r="D14" s="417"/>
      <c r="E14" s="417"/>
      <c r="F14" s="417"/>
      <c r="G14" s="417"/>
      <c r="H14" s="417"/>
      <c r="I14" s="417"/>
      <c r="J14" s="417"/>
      <c r="K14" s="417"/>
      <c r="L14" s="417"/>
      <c r="M14" s="417"/>
      <c r="N14" s="417"/>
      <c r="O14" s="417"/>
      <c r="P14" s="417"/>
      <c r="Q14" s="417"/>
      <c r="R14" s="417"/>
      <c r="S14" s="417"/>
      <c r="T14" s="417"/>
      <c r="U14" s="417"/>
      <c r="V14" s="417"/>
      <c r="W14" s="417"/>
      <c r="X14" s="417"/>
    </row>
    <row r="15" spans="2:24" ht="17.5" customHeight="1" x14ac:dyDescent="0.35">
      <c r="B15" s="417"/>
      <c r="C15" s="417"/>
      <c r="D15" s="417"/>
      <c r="E15" s="417"/>
      <c r="F15" s="417"/>
      <c r="G15" s="417"/>
      <c r="H15" s="417"/>
      <c r="I15" s="417"/>
      <c r="J15" s="417"/>
      <c r="K15" s="417"/>
      <c r="L15" s="417"/>
      <c r="M15" s="417"/>
      <c r="N15" s="417"/>
      <c r="O15" s="417"/>
      <c r="P15" s="417"/>
      <c r="Q15" s="417"/>
      <c r="R15" s="417"/>
      <c r="S15" s="417"/>
      <c r="T15" s="417"/>
      <c r="U15" s="417"/>
      <c r="V15" s="417"/>
      <c r="W15" s="417"/>
      <c r="X15" s="417"/>
    </row>
    <row r="16" spans="2:24" ht="44.15" customHeight="1" x14ac:dyDescent="0.35">
      <c r="B16" s="417"/>
      <c r="C16" s="417"/>
      <c r="D16" s="417"/>
      <c r="E16" s="417"/>
      <c r="F16" s="417"/>
      <c r="G16" s="417"/>
      <c r="H16" s="417"/>
      <c r="I16" s="417"/>
      <c r="J16" s="417"/>
      <c r="K16" s="417"/>
      <c r="L16" s="417"/>
      <c r="M16" s="417"/>
      <c r="N16" s="417"/>
      <c r="O16" s="417"/>
      <c r="P16" s="417"/>
      <c r="Q16" s="417"/>
      <c r="R16" s="417"/>
      <c r="S16" s="417"/>
      <c r="T16" s="417"/>
      <c r="U16" s="417"/>
      <c r="V16" s="417"/>
      <c r="W16" s="417"/>
      <c r="X16" s="417"/>
    </row>
    <row r="17" spans="2:24" ht="17.5" customHeight="1" x14ac:dyDescent="0.35">
      <c r="B17" s="59"/>
      <c r="C17" s="59"/>
      <c r="D17" s="59"/>
      <c r="E17" s="59"/>
      <c r="F17" s="59"/>
      <c r="G17" s="59"/>
      <c r="H17" s="59"/>
      <c r="I17" s="59"/>
      <c r="J17" s="59"/>
      <c r="K17" s="59"/>
      <c r="L17" s="59"/>
      <c r="M17" s="59"/>
      <c r="N17" s="59"/>
      <c r="O17" s="59"/>
      <c r="P17" s="59"/>
      <c r="Q17" s="59"/>
      <c r="R17" s="59"/>
      <c r="S17" s="59"/>
      <c r="T17" s="59"/>
      <c r="U17" s="59"/>
      <c r="V17" s="59"/>
      <c r="W17" s="59"/>
      <c r="X17" s="59"/>
    </row>
    <row r="18" spans="2:24" ht="17.5" customHeight="1" x14ac:dyDescent="0.35">
      <c r="B18" s="86" t="s">
        <v>5</v>
      </c>
      <c r="C18" s="59"/>
      <c r="D18" s="59"/>
      <c r="E18" s="59"/>
      <c r="F18" s="59"/>
      <c r="G18" s="59"/>
      <c r="H18" s="59"/>
      <c r="I18" s="59"/>
      <c r="J18" s="59"/>
      <c r="K18" s="59"/>
      <c r="L18" s="59"/>
      <c r="M18" s="59"/>
      <c r="N18" s="59"/>
      <c r="O18" s="59"/>
      <c r="P18" s="59"/>
      <c r="Q18" s="59"/>
      <c r="R18" s="59"/>
      <c r="S18" s="59"/>
      <c r="T18" s="59"/>
      <c r="U18" s="59"/>
      <c r="V18" s="59"/>
      <c r="W18" s="59"/>
      <c r="X18" s="59"/>
    </row>
    <row r="19" spans="2:24" ht="17.5" customHeight="1" thickBot="1" x14ac:dyDescent="0.4">
      <c r="B19" s="86"/>
      <c r="C19" s="59"/>
      <c r="D19" s="59"/>
      <c r="E19" s="59"/>
      <c r="F19" s="59"/>
      <c r="G19" s="59"/>
      <c r="H19" s="59"/>
      <c r="I19" s="59"/>
      <c r="J19" s="59"/>
      <c r="K19" s="59"/>
      <c r="L19" s="59"/>
      <c r="M19" s="59"/>
      <c r="N19" s="59"/>
      <c r="O19" s="59"/>
      <c r="P19" s="59"/>
      <c r="Q19" s="59"/>
      <c r="R19" s="59"/>
      <c r="S19" s="59"/>
      <c r="T19" s="59"/>
      <c r="U19" s="59"/>
      <c r="V19" s="59"/>
      <c r="W19" s="59"/>
      <c r="X19" s="59"/>
    </row>
    <row r="20" spans="2:24" ht="16.399999999999999" customHeight="1" thickBot="1" x14ac:dyDescent="0.4">
      <c r="B20" s="59"/>
      <c r="C20" s="430" t="s">
        <v>6</v>
      </c>
      <c r="D20" s="431"/>
      <c r="E20" s="431"/>
      <c r="F20" s="431"/>
      <c r="G20" s="432"/>
      <c r="H20" s="430" t="s">
        <v>7</v>
      </c>
      <c r="I20" s="431"/>
      <c r="J20" s="431"/>
      <c r="K20" s="431"/>
      <c r="L20" s="432"/>
      <c r="M20" s="430" t="s">
        <v>8</v>
      </c>
      <c r="N20" s="431"/>
      <c r="O20" s="431"/>
      <c r="P20" s="431"/>
      <c r="Q20" s="431"/>
      <c r="R20" s="432"/>
      <c r="S20" s="431" t="s">
        <v>9</v>
      </c>
      <c r="T20" s="431"/>
      <c r="U20" s="431"/>
      <c r="V20" s="431"/>
      <c r="W20" s="431"/>
      <c r="X20" s="432"/>
    </row>
    <row r="21" spans="2:24" s="87" customFormat="1" ht="62.5" x14ac:dyDescent="0.3">
      <c r="B21" s="293" t="s">
        <v>10</v>
      </c>
      <c r="C21" s="251" t="s">
        <v>11</v>
      </c>
      <c r="D21" s="10" t="s">
        <v>12</v>
      </c>
      <c r="E21" s="10" t="s">
        <v>13</v>
      </c>
      <c r="F21" s="10" t="s">
        <v>14</v>
      </c>
      <c r="G21" s="252" t="s">
        <v>15</v>
      </c>
      <c r="H21" s="272" t="s">
        <v>11</v>
      </c>
      <c r="I21" s="4" t="s">
        <v>12</v>
      </c>
      <c r="J21" s="4" t="s">
        <v>13</v>
      </c>
      <c r="K21" s="4" t="s">
        <v>14</v>
      </c>
      <c r="L21" s="273" t="s">
        <v>15</v>
      </c>
      <c r="M21" s="278" t="s">
        <v>16</v>
      </c>
      <c r="N21" s="199" t="s">
        <v>17</v>
      </c>
      <c r="O21" s="199" t="s">
        <v>18</v>
      </c>
      <c r="P21" s="199" t="s">
        <v>19</v>
      </c>
      <c r="Q21" s="199" t="s">
        <v>20</v>
      </c>
      <c r="R21" s="186" t="s">
        <v>21</v>
      </c>
      <c r="S21" s="239" t="s">
        <v>16</v>
      </c>
      <c r="T21" s="199" t="s">
        <v>17</v>
      </c>
      <c r="U21" s="199" t="s">
        <v>18</v>
      </c>
      <c r="V21" s="199" t="s">
        <v>19</v>
      </c>
      <c r="W21" s="199" t="s">
        <v>20</v>
      </c>
      <c r="X21" s="186" t="s">
        <v>21</v>
      </c>
    </row>
    <row r="22" spans="2:24" s="88" customFormat="1" ht="15.65" customHeight="1" x14ac:dyDescent="0.35">
      <c r="B22" s="294" t="s">
        <v>22</v>
      </c>
      <c r="C22" s="105"/>
      <c r="D22" s="106"/>
      <c r="E22" s="106"/>
      <c r="F22" s="106"/>
      <c r="G22" s="107"/>
      <c r="H22" s="105"/>
      <c r="I22" s="106"/>
      <c r="J22" s="106"/>
      <c r="K22" s="106"/>
      <c r="L22" s="107"/>
      <c r="M22" s="105"/>
      <c r="N22" s="106"/>
      <c r="O22" s="106"/>
      <c r="P22" s="106"/>
      <c r="Q22" s="106"/>
      <c r="R22" s="107"/>
      <c r="S22" s="106"/>
      <c r="T22" s="106"/>
      <c r="U22" s="106"/>
      <c r="V22" s="106"/>
      <c r="W22" s="106"/>
      <c r="X22" s="107"/>
    </row>
    <row r="23" spans="2:24" s="90" customFormat="1" x14ac:dyDescent="0.35">
      <c r="B23" s="295" t="s">
        <v>23</v>
      </c>
      <c r="C23" s="253">
        <v>11502.775</v>
      </c>
      <c r="D23" s="150">
        <v>45473.4</v>
      </c>
      <c r="E23" s="150">
        <v>45473.4</v>
      </c>
      <c r="F23" s="150">
        <v>34641</v>
      </c>
      <c r="G23" s="254">
        <f>IF(F23=0,"NA",C23/F23)</f>
        <v>0.33205666695534192</v>
      </c>
      <c r="H23" s="274">
        <v>726374.77815699659</v>
      </c>
      <c r="I23" s="150">
        <v>849634</v>
      </c>
      <c r="J23" s="150">
        <v>863029.84129999997</v>
      </c>
      <c r="K23" s="150">
        <v>1030015</v>
      </c>
      <c r="L23" s="254">
        <f>IF(K23=0,"NA",H23/K23)</f>
        <v>0.70520796120153262</v>
      </c>
      <c r="M23" s="279">
        <f>SUM(N23:O23)</f>
        <v>3177975.31</v>
      </c>
      <c r="N23" s="222">
        <v>2136937.98</v>
      </c>
      <c r="O23" s="222">
        <v>1041037.33</v>
      </c>
      <c r="P23" s="222">
        <v>11553329</v>
      </c>
      <c r="Q23" s="222">
        <v>10343801.439999999</v>
      </c>
      <c r="R23" s="254" t="str">
        <f t="shared" ref="R23:R29" si="0">IF(Q30=0,"NA",(M23/Q23))</f>
        <v>NA</v>
      </c>
      <c r="S23" s="240">
        <f>SUM(T23:U23)</f>
        <v>545522.67999999993</v>
      </c>
      <c r="T23" s="222">
        <v>304902.09999999998</v>
      </c>
      <c r="U23" s="222">
        <v>240620.58</v>
      </c>
      <c r="V23" s="222">
        <v>1491683</v>
      </c>
      <c r="W23" s="222">
        <v>2172099.9699999997</v>
      </c>
      <c r="X23" s="89">
        <f>IF(W23=0,"NA",(S23/W23))</f>
        <v>0.25114989527853088</v>
      </c>
    </row>
    <row r="24" spans="2:24" s="90" customFormat="1" x14ac:dyDescent="0.35">
      <c r="B24" s="295" t="s">
        <v>24</v>
      </c>
      <c r="C24" s="253">
        <v>14222</v>
      </c>
      <c r="D24" s="150">
        <v>19456.46</v>
      </c>
      <c r="E24" s="150">
        <v>19456.46</v>
      </c>
      <c r="F24" s="150">
        <v>27414</v>
      </c>
      <c r="G24" s="254">
        <f t="shared" ref="G24:G82" si="1">IF(F24=0,"NA",C24/F24)</f>
        <v>0.51878602174071642</v>
      </c>
      <c r="H24" s="274">
        <v>0</v>
      </c>
      <c r="I24" s="150">
        <v>0</v>
      </c>
      <c r="J24" s="150">
        <v>0</v>
      </c>
      <c r="K24" s="150">
        <v>0</v>
      </c>
      <c r="L24" s="254" t="str">
        <f t="shared" ref="L24:L82" si="2">IF(K24=0,"NA",H24/K24)</f>
        <v>NA</v>
      </c>
      <c r="M24" s="279">
        <f>SUM(N24:O24)</f>
        <v>2220567.5099999998</v>
      </c>
      <c r="N24" s="222">
        <v>1641874</v>
      </c>
      <c r="O24" s="222">
        <v>578693.51</v>
      </c>
      <c r="P24" s="222">
        <v>2548923</v>
      </c>
      <c r="Q24" s="222">
        <v>5707753.0199999996</v>
      </c>
      <c r="R24" s="254" t="str">
        <f t="shared" si="0"/>
        <v>NA</v>
      </c>
      <c r="S24" s="240">
        <f t="shared" ref="S24:S81" si="3">SUM(T24:U24)</f>
        <v>0</v>
      </c>
      <c r="T24" s="222">
        <v>0</v>
      </c>
      <c r="U24" s="222">
        <v>0</v>
      </c>
      <c r="V24" s="222">
        <v>0</v>
      </c>
      <c r="W24" s="222">
        <v>0</v>
      </c>
      <c r="X24" s="89" t="str">
        <f t="shared" ref="X24:X29" si="4">IF(W24=0,"NA",(S24/W24))</f>
        <v>NA</v>
      </c>
    </row>
    <row r="25" spans="2:24" s="90" customFormat="1" x14ac:dyDescent="0.35">
      <c r="B25" s="295" t="s">
        <v>25</v>
      </c>
      <c r="C25" s="253">
        <v>131.86599999999999</v>
      </c>
      <c r="D25" s="150">
        <v>1544</v>
      </c>
      <c r="E25" s="150">
        <v>1544</v>
      </c>
      <c r="F25" s="150">
        <v>1596</v>
      </c>
      <c r="G25" s="254">
        <f t="shared" si="1"/>
        <v>8.2622807017543848E-2</v>
      </c>
      <c r="H25" s="274">
        <v>5286.4812286689421</v>
      </c>
      <c r="I25" s="150">
        <v>169345.37</v>
      </c>
      <c r="J25" s="150">
        <v>169337.37</v>
      </c>
      <c r="K25" s="150">
        <v>200217</v>
      </c>
      <c r="L25" s="254">
        <f t="shared" si="2"/>
        <v>2.6403758065843271E-2</v>
      </c>
      <c r="M25" s="279">
        <f t="shared" ref="M25:M29" si="5">SUM(N25:O25)</f>
        <v>65744.820000000007</v>
      </c>
      <c r="N25" s="222">
        <v>21170</v>
      </c>
      <c r="O25" s="222">
        <v>44574.82</v>
      </c>
      <c r="P25" s="222">
        <v>405812</v>
      </c>
      <c r="Q25" s="222">
        <v>581057.77</v>
      </c>
      <c r="R25" s="254">
        <f t="shared" si="0"/>
        <v>0.11314678745282075</v>
      </c>
      <c r="S25" s="240">
        <f t="shared" si="3"/>
        <v>14951.91</v>
      </c>
      <c r="T25" s="222">
        <v>5280</v>
      </c>
      <c r="U25" s="222">
        <v>9671.91</v>
      </c>
      <c r="V25" s="222">
        <v>484527.51</v>
      </c>
      <c r="W25" s="222">
        <v>349923.17</v>
      </c>
      <c r="X25" s="89">
        <f t="shared" si="4"/>
        <v>4.2729122509949827E-2</v>
      </c>
    </row>
    <row r="26" spans="2:24" s="90" customFormat="1" x14ac:dyDescent="0.35">
      <c r="B26" s="295" t="s">
        <v>26</v>
      </c>
      <c r="C26" s="253">
        <v>7938</v>
      </c>
      <c r="D26" s="150">
        <v>59488</v>
      </c>
      <c r="E26" s="150">
        <v>59488</v>
      </c>
      <c r="F26" s="150">
        <v>38415</v>
      </c>
      <c r="G26" s="254">
        <f t="shared" si="1"/>
        <v>0.20663803201874267</v>
      </c>
      <c r="H26" s="274">
        <v>213</v>
      </c>
      <c r="I26" s="150">
        <v>47366.33</v>
      </c>
      <c r="J26" s="150">
        <v>47366.331059999997</v>
      </c>
      <c r="K26" s="150">
        <v>26774</v>
      </c>
      <c r="L26" s="254">
        <f t="shared" si="2"/>
        <v>7.9554791962351528E-3</v>
      </c>
      <c r="M26" s="279">
        <f t="shared" si="5"/>
        <v>3679851.24</v>
      </c>
      <c r="N26" s="222">
        <v>2418193.5300000003</v>
      </c>
      <c r="O26" s="222">
        <v>1261657.71</v>
      </c>
      <c r="P26" s="222">
        <v>19862984</v>
      </c>
      <c r="Q26" s="222">
        <v>12696629.939999999</v>
      </c>
      <c r="R26" s="254">
        <f t="shared" si="0"/>
        <v>0.28982897488465353</v>
      </c>
      <c r="S26" s="240">
        <f t="shared" si="3"/>
        <v>83635.319999999992</v>
      </c>
      <c r="T26" s="222">
        <v>698.17</v>
      </c>
      <c r="U26" s="222">
        <v>82937.149999999994</v>
      </c>
      <c r="V26" s="222">
        <v>387398.49</v>
      </c>
      <c r="W26" s="222">
        <v>754536.07000000007</v>
      </c>
      <c r="X26" s="89">
        <f t="shared" si="4"/>
        <v>0.11084336895915392</v>
      </c>
    </row>
    <row r="27" spans="2:24" s="90" customFormat="1" x14ac:dyDescent="0.35">
      <c r="B27" s="295" t="s">
        <v>27</v>
      </c>
      <c r="C27" s="253">
        <v>3443.55</v>
      </c>
      <c r="D27" s="150">
        <v>39775</v>
      </c>
      <c r="E27" s="150">
        <v>39775</v>
      </c>
      <c r="F27" s="150">
        <v>64778</v>
      </c>
      <c r="G27" s="254">
        <f t="shared" si="1"/>
        <v>5.3159251597764676E-2</v>
      </c>
      <c r="H27" s="274">
        <v>391950.70307167235</v>
      </c>
      <c r="I27" s="150">
        <v>434946</v>
      </c>
      <c r="J27" s="150">
        <v>434946.24329999997</v>
      </c>
      <c r="K27" s="150">
        <v>1289588.3378839591</v>
      </c>
      <c r="L27" s="254">
        <f t="shared" si="2"/>
        <v>0.30393474534269649</v>
      </c>
      <c r="M27" s="279">
        <f t="shared" si="5"/>
        <v>2967634.2600000002</v>
      </c>
      <c r="N27" s="222">
        <v>1530594.7700000003</v>
      </c>
      <c r="O27" s="222">
        <v>1437039.49</v>
      </c>
      <c r="P27" s="222">
        <v>11774060</v>
      </c>
      <c r="Q27" s="222">
        <v>16765735.33</v>
      </c>
      <c r="R27" s="254">
        <f t="shared" si="0"/>
        <v>0.17700591125817328</v>
      </c>
      <c r="S27" s="240">
        <f t="shared" si="3"/>
        <v>505909.1</v>
      </c>
      <c r="T27" s="222">
        <v>236223.99999999997</v>
      </c>
      <c r="U27" s="222">
        <v>269685.09999999998</v>
      </c>
      <c r="V27" s="222">
        <v>2023155</v>
      </c>
      <c r="W27" s="222">
        <v>2817892.1100000003</v>
      </c>
      <c r="X27" s="89">
        <f t="shared" si="4"/>
        <v>0.17953458835583308</v>
      </c>
    </row>
    <row r="28" spans="2:24" s="90" customFormat="1" x14ac:dyDescent="0.35">
      <c r="B28" s="295" t="s">
        <v>28</v>
      </c>
      <c r="C28" s="253">
        <v>1067</v>
      </c>
      <c r="D28" s="150">
        <v>5411</v>
      </c>
      <c r="E28" s="150">
        <v>5411</v>
      </c>
      <c r="F28" s="150">
        <v>9435</v>
      </c>
      <c r="G28" s="254">
        <f t="shared" si="1"/>
        <v>0.11308956014838367</v>
      </c>
      <c r="H28" s="274">
        <v>50018</v>
      </c>
      <c r="I28" s="150">
        <v>60580</v>
      </c>
      <c r="J28" s="150">
        <v>60580</v>
      </c>
      <c r="K28" s="150">
        <v>50490</v>
      </c>
      <c r="L28" s="254">
        <f t="shared" si="2"/>
        <v>0.99065161418102599</v>
      </c>
      <c r="M28" s="279">
        <f t="shared" si="5"/>
        <v>744577.99</v>
      </c>
      <c r="N28" s="222">
        <v>206874.18</v>
      </c>
      <c r="O28" s="222">
        <v>537703.81000000006</v>
      </c>
      <c r="P28" s="222">
        <v>2082555</v>
      </c>
      <c r="Q28" s="222">
        <v>2597201.2599999998</v>
      </c>
      <c r="R28" s="254" t="str">
        <f t="shared" si="0"/>
        <v>NA</v>
      </c>
      <c r="S28" s="240">
        <f t="shared" si="3"/>
        <v>29702.23</v>
      </c>
      <c r="T28" s="222">
        <v>11677.71</v>
      </c>
      <c r="U28" s="222">
        <v>18024.52</v>
      </c>
      <c r="V28" s="222">
        <v>37877.19</v>
      </c>
      <c r="W28" s="222">
        <v>187637.93</v>
      </c>
      <c r="X28" s="89">
        <f t="shared" si="4"/>
        <v>0.15829544698132195</v>
      </c>
    </row>
    <row r="29" spans="2:24" s="90" customFormat="1" x14ac:dyDescent="0.35">
      <c r="B29" s="295" t="s">
        <v>29</v>
      </c>
      <c r="C29" s="255">
        <v>0</v>
      </c>
      <c r="D29" s="150">
        <v>1254</v>
      </c>
      <c r="E29" s="150">
        <v>1254</v>
      </c>
      <c r="F29" s="150">
        <v>0</v>
      </c>
      <c r="G29" s="254" t="str">
        <f t="shared" si="1"/>
        <v>NA</v>
      </c>
      <c r="H29" s="275">
        <v>0</v>
      </c>
      <c r="I29" s="150">
        <v>0</v>
      </c>
      <c r="J29" s="150">
        <v>0</v>
      </c>
      <c r="K29" s="150">
        <v>0</v>
      </c>
      <c r="L29" s="254" t="str">
        <f t="shared" si="2"/>
        <v>NA</v>
      </c>
      <c r="M29" s="279">
        <f t="shared" si="5"/>
        <v>41595.18</v>
      </c>
      <c r="N29" s="222">
        <v>0</v>
      </c>
      <c r="O29" s="222">
        <v>41595.18</v>
      </c>
      <c r="P29" s="222">
        <v>822079</v>
      </c>
      <c r="Q29" s="222">
        <v>858156.34</v>
      </c>
      <c r="R29" s="254">
        <f t="shared" si="0"/>
        <v>4.8470398762071723E-2</v>
      </c>
      <c r="S29" s="240">
        <f t="shared" si="3"/>
        <v>-85.86</v>
      </c>
      <c r="T29" s="222">
        <v>0</v>
      </c>
      <c r="U29" s="222">
        <v>-85.86</v>
      </c>
      <c r="V29" s="222">
        <v>0</v>
      </c>
      <c r="W29" s="222">
        <v>15993.12</v>
      </c>
      <c r="X29" s="89">
        <f t="shared" si="4"/>
        <v>-5.3685584801464624E-3</v>
      </c>
    </row>
    <row r="30" spans="2:24" s="90" customFormat="1" x14ac:dyDescent="0.35">
      <c r="B30" s="295"/>
      <c r="C30" s="253"/>
      <c r="D30" s="150"/>
      <c r="E30" s="150"/>
      <c r="F30" s="150"/>
      <c r="G30" s="254"/>
      <c r="H30" s="274"/>
      <c r="I30" s="150"/>
      <c r="J30" s="150"/>
      <c r="K30" s="150"/>
      <c r="L30" s="254"/>
      <c r="M30" s="279"/>
      <c r="N30" s="222"/>
      <c r="O30" s="222"/>
      <c r="P30" s="222"/>
      <c r="Q30" s="222"/>
      <c r="R30" s="254"/>
      <c r="S30" s="240"/>
      <c r="T30" s="222"/>
      <c r="U30" s="222"/>
      <c r="V30" s="222"/>
      <c r="W30" s="223"/>
      <c r="X30" s="89"/>
    </row>
    <row r="31" spans="2:24" s="90" customFormat="1" x14ac:dyDescent="0.35">
      <c r="B31" s="295"/>
      <c r="C31" s="256"/>
      <c r="D31" s="150"/>
      <c r="E31" s="150"/>
      <c r="F31" s="150"/>
      <c r="G31" s="254"/>
      <c r="H31" s="276"/>
      <c r="I31" s="147"/>
      <c r="J31" s="147"/>
      <c r="K31" s="147"/>
      <c r="L31" s="254"/>
      <c r="M31" s="280"/>
      <c r="N31" s="232"/>
      <c r="O31" s="232"/>
      <c r="P31" s="232"/>
      <c r="Q31" s="232"/>
      <c r="R31" s="254"/>
      <c r="S31" s="241"/>
      <c r="T31" s="233"/>
      <c r="U31" s="233"/>
      <c r="V31" s="233"/>
      <c r="W31" s="225"/>
      <c r="X31" s="89"/>
    </row>
    <row r="32" spans="2:24" s="88" customFormat="1" x14ac:dyDescent="0.35">
      <c r="B32" s="296" t="s">
        <v>30</v>
      </c>
      <c r="C32" s="257">
        <f>SUM(C23:C31)</f>
        <v>38305.191000000006</v>
      </c>
      <c r="D32" s="310">
        <f>SUM(D23:D31)</f>
        <v>172401.86</v>
      </c>
      <c r="E32" s="310">
        <f>SUM(E23:E31)</f>
        <v>172401.86</v>
      </c>
      <c r="F32" s="310">
        <f>SUM(F23:F31)</f>
        <v>176279</v>
      </c>
      <c r="G32" s="258">
        <f t="shared" si="1"/>
        <v>0.21729866291503813</v>
      </c>
      <c r="H32" s="257">
        <f>SUM(H23:H31)</f>
        <v>1173842.9624573379</v>
      </c>
      <c r="I32" s="310">
        <f>SUM(I23:I31)</f>
        <v>1561871.7</v>
      </c>
      <c r="J32" s="310">
        <f>SUM(J23:J31)</f>
        <v>1575259.7856599998</v>
      </c>
      <c r="K32" s="310">
        <f>SUM(K23:K31)</f>
        <v>2597084.3378839591</v>
      </c>
      <c r="L32" s="258">
        <f t="shared" ref="L32" si="6">IF(K32=0,"NA",H32/K32)</f>
        <v>0.45198492222002945</v>
      </c>
      <c r="M32" s="281">
        <f t="shared" ref="M32:M81" si="7">SUM(N32:O32)</f>
        <v>12897946.309999999</v>
      </c>
      <c r="N32" s="230">
        <f>SUM(N23:N31)</f>
        <v>7955644.46</v>
      </c>
      <c r="O32" s="230">
        <f>SUM(O23:O31)</f>
        <v>4942301.8499999996</v>
      </c>
      <c r="P32" s="230">
        <f>SUM(P23:P31)</f>
        <v>49049742</v>
      </c>
      <c r="Q32" s="230">
        <f>SUM(Q23:Q31)</f>
        <v>49550335.100000001</v>
      </c>
      <c r="R32" s="258">
        <f t="shared" ref="R32:R82" si="8">IF(Q32=0,"NA",(M32/Q32))</f>
        <v>0.26029988059556025</v>
      </c>
      <c r="S32" s="269">
        <f t="shared" si="3"/>
        <v>1179635.3799999999</v>
      </c>
      <c r="T32" s="230">
        <f>SUM(T23:T31)</f>
        <v>558781.97999999986</v>
      </c>
      <c r="U32" s="230">
        <f>SUM(U23:U31)</f>
        <v>620853.4</v>
      </c>
      <c r="V32" s="230">
        <f>SUM(V23:V31)</f>
        <v>4424641.1900000004</v>
      </c>
      <c r="W32" s="230">
        <f>SUM(W23:W31)</f>
        <v>6298082.3700000001</v>
      </c>
      <c r="X32" s="248">
        <f t="shared" ref="X32:X82" si="9">IF(W32=0,"NA",(S32/W32))</f>
        <v>0.1873007227753993</v>
      </c>
    </row>
    <row r="33" spans="2:24" x14ac:dyDescent="0.35">
      <c r="B33" s="297" t="s">
        <v>31</v>
      </c>
      <c r="C33" s="347">
        <f>C32-C34</f>
        <v>29768.191000000006</v>
      </c>
      <c r="D33" s="345">
        <f t="shared" ref="D33:F33" si="10">D32-D34</f>
        <v>147949.85999999999</v>
      </c>
      <c r="E33" s="345">
        <f t="shared" si="10"/>
        <v>147949.85999999999</v>
      </c>
      <c r="F33" s="345">
        <f t="shared" si="10"/>
        <v>135054</v>
      </c>
      <c r="G33" s="309">
        <f t="shared" si="1"/>
        <v>0.22041695173782344</v>
      </c>
      <c r="H33" s="347">
        <f>H32-H34</f>
        <v>1100903.9624573379</v>
      </c>
      <c r="I33" s="345">
        <f t="shared" ref="I33:K33" si="11">I32-I34</f>
        <v>1102937.7</v>
      </c>
      <c r="J33" s="345">
        <f t="shared" si="11"/>
        <v>1115955.7856599998</v>
      </c>
      <c r="K33" s="345">
        <f t="shared" si="11"/>
        <v>2012137.3378839591</v>
      </c>
      <c r="L33" s="309">
        <f t="shared" si="2"/>
        <v>0.54713162055582687</v>
      </c>
      <c r="M33" s="282">
        <f>SUM(N33:O33)</f>
        <v>10399228.800000001</v>
      </c>
      <c r="N33" s="345">
        <f t="shared" ref="N33" si="12">N32-N34</f>
        <v>5954295.5499999998</v>
      </c>
      <c r="O33" s="345">
        <f t="shared" ref="O33" si="13">O32-O34</f>
        <v>4444933.25</v>
      </c>
      <c r="P33" s="345">
        <f t="shared" ref="P33" si="14">P32-P34</f>
        <v>40625931</v>
      </c>
      <c r="Q33" s="345">
        <f t="shared" ref="Q33" si="15">Q32-Q34</f>
        <v>36657373.100000001</v>
      </c>
      <c r="R33" s="259">
        <f t="shared" si="8"/>
        <v>0.28368723453345324</v>
      </c>
      <c r="S33" s="270">
        <f>SUM(T33:U33)</f>
        <v>874546.10999999987</v>
      </c>
      <c r="T33" s="345">
        <f t="shared" ref="T33" si="16">T32-T34</f>
        <v>464602.90999999986</v>
      </c>
      <c r="U33" s="345">
        <f t="shared" ref="U33" si="17">U32-U34</f>
        <v>409943.2</v>
      </c>
      <c r="V33" s="345">
        <f t="shared" ref="V33:W33" si="18">V32-V34</f>
        <v>2864957.1900000004</v>
      </c>
      <c r="W33" s="345">
        <f t="shared" si="18"/>
        <v>4546392.37</v>
      </c>
      <c r="X33" s="249">
        <f t="shared" si="9"/>
        <v>0.19236045612138836</v>
      </c>
    </row>
    <row r="34" spans="2:24" x14ac:dyDescent="0.35">
      <c r="B34" s="297" t="s">
        <v>32</v>
      </c>
      <c r="C34" s="348">
        <v>8537</v>
      </c>
      <c r="D34" s="349">
        <v>24452</v>
      </c>
      <c r="E34" s="349">
        <v>24452</v>
      </c>
      <c r="F34" s="349">
        <v>41225</v>
      </c>
      <c r="G34" s="259">
        <f t="shared" si="1"/>
        <v>0.20708308065494238</v>
      </c>
      <c r="H34" s="348">
        <v>72939</v>
      </c>
      <c r="I34" s="349">
        <v>458934</v>
      </c>
      <c r="J34" s="349">
        <v>459304</v>
      </c>
      <c r="K34" s="350">
        <v>584947</v>
      </c>
      <c r="L34" s="259">
        <f t="shared" si="2"/>
        <v>0.12469334828625499</v>
      </c>
      <c r="M34" s="283">
        <f>SUM(N34:O34)</f>
        <v>2498717.5099999998</v>
      </c>
      <c r="N34" s="346">
        <v>2001348.91</v>
      </c>
      <c r="O34" s="346">
        <v>497368.6</v>
      </c>
      <c r="P34" s="346">
        <v>8423811</v>
      </c>
      <c r="Q34" s="346">
        <v>12892962</v>
      </c>
      <c r="R34" s="259">
        <f t="shared" si="8"/>
        <v>0.19380476805872845</v>
      </c>
      <c r="S34" s="271">
        <f>SUM(T34:U34)</f>
        <v>305089.27</v>
      </c>
      <c r="T34" s="346">
        <v>94179.07</v>
      </c>
      <c r="U34" s="346">
        <v>210910.2</v>
      </c>
      <c r="V34" s="346">
        <v>1559684</v>
      </c>
      <c r="W34" s="346">
        <v>1751690</v>
      </c>
      <c r="X34" s="249">
        <f t="shared" si="9"/>
        <v>0.17416852867801952</v>
      </c>
    </row>
    <row r="35" spans="2:24" s="88" customFormat="1" ht="15.65" customHeight="1" x14ac:dyDescent="0.35">
      <c r="B35" s="298" t="s">
        <v>33</v>
      </c>
      <c r="C35" s="260"/>
      <c r="D35" s="218"/>
      <c r="E35" s="218"/>
      <c r="F35" s="218"/>
      <c r="G35" s="261"/>
      <c r="H35" s="277"/>
      <c r="I35" s="219"/>
      <c r="J35" s="218"/>
      <c r="K35" s="218"/>
      <c r="L35" s="261"/>
      <c r="M35" s="284"/>
      <c r="N35" s="127"/>
      <c r="O35" s="127"/>
      <c r="P35" s="127"/>
      <c r="Q35" s="127"/>
      <c r="R35" s="261"/>
      <c r="S35" s="242"/>
      <c r="T35" s="127"/>
      <c r="U35" s="127"/>
      <c r="V35" s="127"/>
      <c r="W35" s="104"/>
      <c r="X35" s="103"/>
    </row>
    <row r="36" spans="2:24" s="90" customFormat="1" x14ac:dyDescent="0.35">
      <c r="B36" s="295" t="s">
        <v>34</v>
      </c>
      <c r="C36" s="256">
        <v>1440</v>
      </c>
      <c r="D36" s="150">
        <v>7304.53</v>
      </c>
      <c r="E36" s="150">
        <v>7304.53</v>
      </c>
      <c r="F36" s="147">
        <v>5169</v>
      </c>
      <c r="G36" s="262">
        <f t="shared" si="1"/>
        <v>0.27858386535113172</v>
      </c>
      <c r="H36" s="276">
        <v>5750</v>
      </c>
      <c r="I36" s="150">
        <v>63941.26</v>
      </c>
      <c r="J36" s="150">
        <v>61083.82</v>
      </c>
      <c r="K36" s="147">
        <v>32358</v>
      </c>
      <c r="L36" s="254">
        <f>IF(K36=0,"NA",H36/K36)</f>
        <v>0.17769948698930713</v>
      </c>
      <c r="M36" s="285">
        <f t="shared" si="7"/>
        <v>1263322.29</v>
      </c>
      <c r="N36" s="233">
        <v>966793.75</v>
      </c>
      <c r="O36" s="233">
        <v>296528.53999999998</v>
      </c>
      <c r="P36" s="222">
        <v>3563561</v>
      </c>
      <c r="Q36" s="233">
        <v>3412246.26</v>
      </c>
      <c r="R36" s="254">
        <f>IF(Q36=0,"NA",(M36/Q36))</f>
        <v>0.3702318630426164</v>
      </c>
      <c r="S36" s="241">
        <f t="shared" si="3"/>
        <v>75918.42</v>
      </c>
      <c r="T36" s="233">
        <v>11406.25</v>
      </c>
      <c r="U36" s="233">
        <v>64512.17</v>
      </c>
      <c r="V36" s="222">
        <v>205717.31</v>
      </c>
      <c r="W36" s="233">
        <v>292428.11</v>
      </c>
      <c r="X36" s="91">
        <f t="shared" si="9"/>
        <v>0.25961396118861485</v>
      </c>
    </row>
    <row r="37" spans="2:24" s="90" customFormat="1" x14ac:dyDescent="0.35">
      <c r="B37" s="295" t="s">
        <v>35</v>
      </c>
      <c r="C37" s="256">
        <v>44</v>
      </c>
      <c r="D37" s="150">
        <v>1058.51</v>
      </c>
      <c r="E37" s="150">
        <v>1058.51</v>
      </c>
      <c r="F37" s="147">
        <v>1059</v>
      </c>
      <c r="G37" s="262">
        <f t="shared" si="1"/>
        <v>4.1548630783758263E-2</v>
      </c>
      <c r="H37" s="276">
        <v>4175</v>
      </c>
      <c r="I37" s="150">
        <v>98491.4</v>
      </c>
      <c r="J37" s="150">
        <v>98465.83</v>
      </c>
      <c r="K37" s="147">
        <v>98491</v>
      </c>
      <c r="L37" s="254">
        <f t="shared" ref="L37:L44" si="19">IF(K37=0,"NA",H37/K37)</f>
        <v>4.2389659968931175E-2</v>
      </c>
      <c r="M37" s="285">
        <f t="shared" si="7"/>
        <v>48366.29</v>
      </c>
      <c r="N37" s="233">
        <v>43127.33</v>
      </c>
      <c r="O37" s="233">
        <v>5238.96</v>
      </c>
      <c r="P37" s="222">
        <v>851838</v>
      </c>
      <c r="Q37" s="233">
        <v>870344.39</v>
      </c>
      <c r="R37" s="254">
        <f t="shared" ref="R37:R44" si="20">IF(Q37=0,"NA",(M37/Q37))</f>
        <v>5.5571438795624338E-2</v>
      </c>
      <c r="S37" s="241">
        <f t="shared" si="3"/>
        <v>74640.47</v>
      </c>
      <c r="T37" s="233">
        <v>67975.97</v>
      </c>
      <c r="U37" s="233">
        <v>6664.5</v>
      </c>
      <c r="V37" s="222">
        <v>523458.96</v>
      </c>
      <c r="W37" s="233">
        <v>546618.57999999996</v>
      </c>
      <c r="X37" s="91">
        <f t="shared" si="9"/>
        <v>0.13654945647840952</v>
      </c>
    </row>
    <row r="38" spans="2:24" s="90" customFormat="1" x14ac:dyDescent="0.35">
      <c r="B38" s="295" t="s">
        <v>36</v>
      </c>
      <c r="C38" s="256">
        <v>87</v>
      </c>
      <c r="D38" s="150">
        <v>942</v>
      </c>
      <c r="E38" s="150">
        <v>942</v>
      </c>
      <c r="F38" s="147">
        <v>1891</v>
      </c>
      <c r="G38" s="262">
        <f t="shared" si="1"/>
        <v>4.6007403490216814E-2</v>
      </c>
      <c r="H38" s="276">
        <v>0</v>
      </c>
      <c r="I38" s="150">
        <v>5785.61</v>
      </c>
      <c r="J38" s="150">
        <v>5891.94</v>
      </c>
      <c r="K38" s="147">
        <v>42102</v>
      </c>
      <c r="L38" s="254">
        <f t="shared" si="19"/>
        <v>0</v>
      </c>
      <c r="M38" s="285">
        <f t="shared" si="7"/>
        <v>44821.71</v>
      </c>
      <c r="N38" s="233">
        <v>21785.94</v>
      </c>
      <c r="O38" s="233">
        <v>23035.77</v>
      </c>
      <c r="P38" s="222">
        <v>404531</v>
      </c>
      <c r="Q38" s="233">
        <v>341803.49</v>
      </c>
      <c r="R38" s="254">
        <f t="shared" si="20"/>
        <v>0.13113297936191348</v>
      </c>
      <c r="S38" s="241">
        <f t="shared" si="3"/>
        <v>10284.980000000001</v>
      </c>
      <c r="T38" s="233">
        <v>1333.28</v>
      </c>
      <c r="U38" s="233">
        <v>8951.7000000000007</v>
      </c>
      <c r="V38" s="222">
        <v>30726.46</v>
      </c>
      <c r="W38" s="233">
        <v>104883.23999999999</v>
      </c>
      <c r="X38" s="91">
        <f t="shared" si="9"/>
        <v>9.8061234569031264E-2</v>
      </c>
    </row>
    <row r="39" spans="2:24" s="90" customFormat="1" x14ac:dyDescent="0.35">
      <c r="B39" s="295" t="s">
        <v>37</v>
      </c>
      <c r="C39" s="256">
        <v>130</v>
      </c>
      <c r="D39" s="150">
        <v>1295.8599999999999</v>
      </c>
      <c r="E39" s="150">
        <v>1295.8599999999999</v>
      </c>
      <c r="F39" s="147">
        <v>1296</v>
      </c>
      <c r="G39" s="262">
        <f t="shared" si="1"/>
        <v>0.10030864197530864</v>
      </c>
      <c r="H39" s="276">
        <v>0</v>
      </c>
      <c r="I39" s="150">
        <v>0</v>
      </c>
      <c r="J39" s="150">
        <v>0</v>
      </c>
      <c r="K39" s="147">
        <v>0</v>
      </c>
      <c r="L39" s="254" t="str">
        <f t="shared" si="19"/>
        <v>NA</v>
      </c>
      <c r="M39" s="285">
        <f t="shared" si="7"/>
        <v>158390.28999999998</v>
      </c>
      <c r="N39" s="233">
        <v>88000</v>
      </c>
      <c r="O39" s="233">
        <v>70390.289999999994</v>
      </c>
      <c r="P39" s="222">
        <v>1229925</v>
      </c>
      <c r="Q39" s="233">
        <v>1096025.97</v>
      </c>
      <c r="R39" s="254">
        <f t="shared" si="20"/>
        <v>0.14451326367750209</v>
      </c>
      <c r="S39" s="241">
        <f t="shared" si="3"/>
        <v>0</v>
      </c>
      <c r="T39" s="233">
        <v>0</v>
      </c>
      <c r="U39" s="233">
        <v>0</v>
      </c>
      <c r="V39" s="222">
        <v>0</v>
      </c>
      <c r="W39" s="233">
        <v>0</v>
      </c>
      <c r="X39" s="91" t="str">
        <f t="shared" si="9"/>
        <v>NA</v>
      </c>
    </row>
    <row r="40" spans="2:24" s="90" customFormat="1" x14ac:dyDescent="0.35">
      <c r="B40" s="295" t="s">
        <v>38</v>
      </c>
      <c r="C40" s="256">
        <v>0</v>
      </c>
      <c r="D40" s="150">
        <v>119.64</v>
      </c>
      <c r="E40" s="150">
        <v>119.64</v>
      </c>
      <c r="F40" s="147">
        <v>171</v>
      </c>
      <c r="G40" s="262">
        <f t="shared" si="1"/>
        <v>0</v>
      </c>
      <c r="H40" s="276">
        <v>0</v>
      </c>
      <c r="I40" s="150">
        <v>1144.31</v>
      </c>
      <c r="J40" s="150">
        <v>1171.17</v>
      </c>
      <c r="K40" s="147">
        <v>4020</v>
      </c>
      <c r="L40" s="254">
        <f t="shared" si="19"/>
        <v>0</v>
      </c>
      <c r="M40" s="285">
        <f t="shared" si="7"/>
        <v>2186.33</v>
      </c>
      <c r="N40" s="233">
        <v>0</v>
      </c>
      <c r="O40" s="233">
        <v>2186.33</v>
      </c>
      <c r="P40" s="222">
        <v>49744</v>
      </c>
      <c r="Q40" s="233">
        <v>33645.26</v>
      </c>
      <c r="R40" s="254">
        <f t="shared" si="20"/>
        <v>6.4981813188544235E-2</v>
      </c>
      <c r="S40" s="241">
        <f t="shared" si="3"/>
        <v>1110.68</v>
      </c>
      <c r="T40" s="233">
        <v>0</v>
      </c>
      <c r="U40" s="233">
        <v>1110.68</v>
      </c>
      <c r="V40" s="222">
        <v>7350.43</v>
      </c>
      <c r="W40" s="233">
        <v>13344.64</v>
      </c>
      <c r="X40" s="91">
        <f t="shared" si="9"/>
        <v>8.3230420603328387E-2</v>
      </c>
    </row>
    <row r="41" spans="2:24" s="90" customFormat="1" x14ac:dyDescent="0.35">
      <c r="B41" s="295" t="s">
        <v>39</v>
      </c>
      <c r="C41" s="256">
        <v>807.923</v>
      </c>
      <c r="D41" s="150">
        <v>13299.92</v>
      </c>
      <c r="E41" s="150">
        <v>13299.92</v>
      </c>
      <c r="F41" s="147">
        <v>8227.2739999999994</v>
      </c>
      <c r="G41" s="262">
        <f t="shared" si="1"/>
        <v>9.8200570444110652E-2</v>
      </c>
      <c r="H41" s="276">
        <v>7109.761092150171</v>
      </c>
      <c r="I41" s="150">
        <v>110705.35</v>
      </c>
      <c r="J41" s="150">
        <v>110781.36</v>
      </c>
      <c r="K41" s="147">
        <v>103918.85324232082</v>
      </c>
      <c r="L41" s="254">
        <f t="shared" si="19"/>
        <v>6.8416469873579494E-2</v>
      </c>
      <c r="M41" s="285">
        <f t="shared" si="7"/>
        <v>412723.01</v>
      </c>
      <c r="N41" s="233">
        <v>325994.8</v>
      </c>
      <c r="O41" s="233">
        <v>86728.21</v>
      </c>
      <c r="P41" s="222">
        <v>3275102</v>
      </c>
      <c r="Q41" s="233">
        <v>2372558.2599999998</v>
      </c>
      <c r="R41" s="254">
        <f t="shared" si="20"/>
        <v>0.17395695480202877</v>
      </c>
      <c r="S41" s="241">
        <f t="shared" si="3"/>
        <v>15844.939999999999</v>
      </c>
      <c r="T41" s="233">
        <v>12252.8</v>
      </c>
      <c r="U41" s="233">
        <v>3592.14</v>
      </c>
      <c r="V41" s="222">
        <v>569329.15</v>
      </c>
      <c r="W41" s="233">
        <v>107941.82</v>
      </c>
      <c r="X41" s="91">
        <f t="shared" si="9"/>
        <v>0.14679148452379251</v>
      </c>
    </row>
    <row r="42" spans="2:24" s="90" customFormat="1" x14ac:dyDescent="0.35">
      <c r="B42" s="295" t="s">
        <v>40</v>
      </c>
      <c r="C42" s="256">
        <v>1332.152</v>
      </c>
      <c r="D42" s="150">
        <v>2028.92</v>
      </c>
      <c r="E42" s="150">
        <v>2028.92</v>
      </c>
      <c r="F42" s="147">
        <v>3993.0640000000003</v>
      </c>
      <c r="G42" s="262">
        <f t="shared" si="1"/>
        <v>0.33361649099538598</v>
      </c>
      <c r="H42" s="276">
        <v>117036.86689419796</v>
      </c>
      <c r="I42" s="150">
        <v>582981.43000000005</v>
      </c>
      <c r="J42" s="150">
        <v>576126.92000000004</v>
      </c>
      <c r="K42" s="147">
        <v>340664.50170648459</v>
      </c>
      <c r="L42" s="254">
        <f t="shared" si="19"/>
        <v>0.34355463016524257</v>
      </c>
      <c r="M42" s="285">
        <f t="shared" si="7"/>
        <v>178964.41</v>
      </c>
      <c r="N42" s="233">
        <v>133527.01</v>
      </c>
      <c r="O42" s="233">
        <v>45437.4</v>
      </c>
      <c r="P42" s="222">
        <v>593147</v>
      </c>
      <c r="Q42" s="233">
        <v>1029525.02</v>
      </c>
      <c r="R42" s="254">
        <f t="shared" si="20"/>
        <v>0.17383201624376257</v>
      </c>
      <c r="S42" s="241">
        <f t="shared" si="3"/>
        <v>201506.07</v>
      </c>
      <c r="T42" s="233">
        <v>181754.7</v>
      </c>
      <c r="U42" s="233">
        <v>19751.37</v>
      </c>
      <c r="V42" s="222">
        <v>996761.58</v>
      </c>
      <c r="W42" s="233">
        <v>493820.16000000003</v>
      </c>
      <c r="X42" s="91">
        <f t="shared" si="9"/>
        <v>0.40805557634585027</v>
      </c>
    </row>
    <row r="43" spans="2:24" s="90" customFormat="1" x14ac:dyDescent="0.35">
      <c r="B43" s="295" t="s">
        <v>41</v>
      </c>
      <c r="C43" s="256">
        <v>0</v>
      </c>
      <c r="D43" s="150">
        <v>241.19</v>
      </c>
      <c r="E43" s="150">
        <v>241.19</v>
      </c>
      <c r="F43" s="147">
        <v>0</v>
      </c>
      <c r="G43" s="262" t="str">
        <f t="shared" si="1"/>
        <v>NA</v>
      </c>
      <c r="H43" s="276">
        <v>0</v>
      </c>
      <c r="I43" s="150">
        <v>20096.8</v>
      </c>
      <c r="J43" s="150">
        <v>20096.8</v>
      </c>
      <c r="K43" s="147">
        <v>0</v>
      </c>
      <c r="L43" s="254" t="str">
        <f t="shared" si="19"/>
        <v>NA</v>
      </c>
      <c r="M43" s="285">
        <f t="shared" si="7"/>
        <v>18077.629999999997</v>
      </c>
      <c r="N43" s="233">
        <v>0</v>
      </c>
      <c r="O43" s="233">
        <v>18077.629999999997</v>
      </c>
      <c r="P43" s="222">
        <v>520175</v>
      </c>
      <c r="Q43" s="233">
        <v>535211.43999999994</v>
      </c>
      <c r="R43" s="254">
        <f t="shared" si="20"/>
        <v>3.3776613594059202E-2</v>
      </c>
      <c r="S43" s="241">
        <f t="shared" si="3"/>
        <v>0</v>
      </c>
      <c r="T43" s="233">
        <v>0</v>
      </c>
      <c r="U43" s="233">
        <v>0</v>
      </c>
      <c r="V43" s="222">
        <v>58825.25</v>
      </c>
      <c r="W43" s="233">
        <v>58825</v>
      </c>
      <c r="X43" s="91">
        <f t="shared" si="9"/>
        <v>0</v>
      </c>
    </row>
    <row r="44" spans="2:24" s="90" customFormat="1" x14ac:dyDescent="0.35">
      <c r="B44" s="295" t="s">
        <v>42</v>
      </c>
      <c r="C44" s="256">
        <v>0</v>
      </c>
      <c r="D44" s="150">
        <v>3784.98</v>
      </c>
      <c r="E44" s="150">
        <v>3784.98</v>
      </c>
      <c r="F44" s="147">
        <v>406</v>
      </c>
      <c r="G44" s="262">
        <f t="shared" si="1"/>
        <v>0</v>
      </c>
      <c r="H44" s="276">
        <v>0</v>
      </c>
      <c r="I44" s="150">
        <v>86545.05</v>
      </c>
      <c r="J44" s="150">
        <v>87798.66</v>
      </c>
      <c r="K44" s="147">
        <v>2217</v>
      </c>
      <c r="L44" s="254">
        <f t="shared" si="19"/>
        <v>0</v>
      </c>
      <c r="M44" s="286">
        <f t="shared" si="7"/>
        <v>155199.78</v>
      </c>
      <c r="N44" s="233">
        <v>36250.29</v>
      </c>
      <c r="O44" s="233">
        <v>118949.49</v>
      </c>
      <c r="P44" s="222">
        <v>1701097</v>
      </c>
      <c r="Q44" s="233">
        <v>1020212.8200000001</v>
      </c>
      <c r="R44" s="254">
        <f t="shared" si="20"/>
        <v>0.15212490664447834</v>
      </c>
      <c r="S44" s="241">
        <f t="shared" si="3"/>
        <v>22175.57</v>
      </c>
      <c r="T44" s="233">
        <v>5333.11</v>
      </c>
      <c r="U44" s="233">
        <v>16842.46</v>
      </c>
      <c r="V44" s="222">
        <v>771626.95</v>
      </c>
      <c r="W44" s="233">
        <v>123325.67</v>
      </c>
      <c r="X44" s="91">
        <f t="shared" si="9"/>
        <v>0.17981309162966638</v>
      </c>
    </row>
    <row r="45" spans="2:24" s="90" customFormat="1" x14ac:dyDescent="0.35">
      <c r="B45" s="295"/>
      <c r="C45" s="256"/>
      <c r="D45" s="150"/>
      <c r="E45" s="150"/>
      <c r="F45" s="147"/>
      <c r="G45" s="262"/>
      <c r="H45" s="276"/>
      <c r="I45" s="150"/>
      <c r="J45" s="150"/>
      <c r="K45" s="147"/>
      <c r="L45" s="254"/>
      <c r="M45" s="285"/>
      <c r="N45" s="233"/>
      <c r="O45" s="233"/>
      <c r="P45" s="222"/>
      <c r="Q45" s="233"/>
      <c r="R45" s="262"/>
      <c r="S45" s="241">
        <f t="shared" si="3"/>
        <v>0</v>
      </c>
      <c r="T45" s="233"/>
      <c r="U45" s="233"/>
      <c r="V45" s="222"/>
      <c r="W45" s="233"/>
      <c r="X45" s="91"/>
    </row>
    <row r="46" spans="2:24" s="90" customFormat="1" x14ac:dyDescent="0.35">
      <c r="B46" s="295"/>
      <c r="C46" s="256"/>
      <c r="D46" s="147"/>
      <c r="E46" s="147"/>
      <c r="F46" s="147"/>
      <c r="G46" s="262"/>
      <c r="H46" s="276"/>
      <c r="I46" s="147"/>
      <c r="J46" s="147"/>
      <c r="K46" s="147"/>
      <c r="L46" s="262"/>
      <c r="M46" s="285"/>
      <c r="N46" s="233"/>
      <c r="O46" s="233"/>
      <c r="P46" s="233"/>
      <c r="Q46" s="233"/>
      <c r="R46" s="262"/>
      <c r="S46" s="241"/>
      <c r="T46" s="233"/>
      <c r="U46" s="233"/>
      <c r="V46" s="233"/>
      <c r="W46" s="225"/>
      <c r="X46" s="91"/>
    </row>
    <row r="47" spans="2:24" s="88" customFormat="1" x14ac:dyDescent="0.35">
      <c r="B47" s="296" t="s">
        <v>43</v>
      </c>
      <c r="C47" s="264">
        <f>SUM(C36:C46)</f>
        <v>3841.0749999999998</v>
      </c>
      <c r="D47" s="217">
        <f>SUM(D36:D46)</f>
        <v>30075.549999999996</v>
      </c>
      <c r="E47" s="217">
        <f>SUM(E36:E46)</f>
        <v>30075.549999999996</v>
      </c>
      <c r="F47" s="217">
        <f>SUM(F36:F46)</f>
        <v>22212.337999999996</v>
      </c>
      <c r="G47" s="258">
        <f t="shared" si="1"/>
        <v>0.17292529043993479</v>
      </c>
      <c r="H47" s="264">
        <f>SUM(H36:H46)</f>
        <v>134071.62798634812</v>
      </c>
      <c r="I47" s="217">
        <f>SUM(I36:I46)</f>
        <v>969691.2100000002</v>
      </c>
      <c r="J47" s="217">
        <f>SUM(J36:J46)</f>
        <v>961416.50000000012</v>
      </c>
      <c r="K47" s="217">
        <f>SUM(K36:K46)</f>
        <v>623771.35494880541</v>
      </c>
      <c r="L47" s="258">
        <f t="shared" ref="L47" si="21">IF(K47=0,"NA",H47/K47)</f>
        <v>0.21493713509391874</v>
      </c>
      <c r="M47" s="287">
        <f t="shared" si="7"/>
        <v>2282051.7400000002</v>
      </c>
      <c r="N47" s="230">
        <f>SUM(N36:N46)</f>
        <v>1615479.12</v>
      </c>
      <c r="O47" s="230">
        <f>SUM(O36:O46)</f>
        <v>666572.62</v>
      </c>
      <c r="P47" s="230">
        <f>SUM(P36:P46)</f>
        <v>12189120</v>
      </c>
      <c r="Q47" s="230">
        <f>SUM(Q36:Q46)</f>
        <v>10711572.909999998</v>
      </c>
      <c r="R47" s="258" t="str">
        <f>IF(Q18=0,"NA",(M47/Q18))</f>
        <v>NA</v>
      </c>
      <c r="S47" s="243">
        <f t="shared" si="3"/>
        <v>401481.13</v>
      </c>
      <c r="T47" s="230">
        <f>SUM(T36:T46)</f>
        <v>280056.11</v>
      </c>
      <c r="U47" s="230">
        <f>SUM(U36:U46)</f>
        <v>121425.01999999999</v>
      </c>
      <c r="V47" s="230">
        <f>SUM(V36:V46)</f>
        <v>3163796.09</v>
      </c>
      <c r="W47" s="224">
        <f>SUM(W36:W46)</f>
        <v>1741187.2199999997</v>
      </c>
      <c r="X47" s="11">
        <f t="shared" si="9"/>
        <v>0.23057895520276106</v>
      </c>
    </row>
    <row r="48" spans="2:24" s="88" customFormat="1" ht="15.65" customHeight="1" x14ac:dyDescent="0.35">
      <c r="B48" s="298" t="s">
        <v>44</v>
      </c>
      <c r="C48" s="260"/>
      <c r="D48" s="218"/>
      <c r="E48" s="218"/>
      <c r="F48" s="218"/>
      <c r="G48" s="261"/>
      <c r="H48" s="277"/>
      <c r="I48" s="219"/>
      <c r="J48" s="218"/>
      <c r="K48" s="218"/>
      <c r="L48" s="261"/>
      <c r="M48" s="284">
        <f t="shared" si="7"/>
        <v>0</v>
      </c>
      <c r="N48" s="127"/>
      <c r="O48" s="127"/>
      <c r="P48" s="127"/>
      <c r="Q48" s="127"/>
      <c r="R48" s="261"/>
      <c r="S48" s="244">
        <f t="shared" si="3"/>
        <v>0</v>
      </c>
      <c r="T48" s="234"/>
      <c r="U48" s="234"/>
      <c r="V48" s="234"/>
      <c r="W48" s="229"/>
      <c r="X48" s="103"/>
    </row>
    <row r="49" spans="2:24" s="90" customFormat="1" x14ac:dyDescent="0.35">
      <c r="B49" s="295" t="s">
        <v>45</v>
      </c>
      <c r="C49" s="256">
        <v>0</v>
      </c>
      <c r="D49" s="150">
        <v>1291.47</v>
      </c>
      <c r="E49" s="150">
        <v>1291.47</v>
      </c>
      <c r="F49" s="147">
        <v>2329</v>
      </c>
      <c r="G49" s="262">
        <f t="shared" ref="G49" si="22">IF(F49=0,"NA",C49/F49)</f>
        <v>0</v>
      </c>
      <c r="H49" s="276">
        <v>0</v>
      </c>
      <c r="I49" s="150">
        <v>53263.64</v>
      </c>
      <c r="J49" s="150">
        <v>53263.64</v>
      </c>
      <c r="K49" s="147">
        <v>108800</v>
      </c>
      <c r="L49" s="254">
        <f>IF(K49=0,"NA",H49/K49)</f>
        <v>0</v>
      </c>
      <c r="M49" s="285">
        <f t="shared" ref="M49" si="23">SUM(N49:O49)</f>
        <v>6221.27</v>
      </c>
      <c r="N49" s="233">
        <v>0</v>
      </c>
      <c r="O49" s="233">
        <v>6221.27</v>
      </c>
      <c r="P49" s="222">
        <v>196336</v>
      </c>
      <c r="Q49" s="233">
        <v>335216.33999999997</v>
      </c>
      <c r="R49" s="262">
        <f t="shared" ref="R49" si="24">IF(Q49=0,"NA",(M49/Q49))</f>
        <v>1.855897000724965E-2</v>
      </c>
      <c r="S49" s="241">
        <f t="shared" ref="S49" si="25">SUM(T49:U49)</f>
        <v>5222.18</v>
      </c>
      <c r="T49" s="233">
        <v>0</v>
      </c>
      <c r="U49" s="233">
        <v>5222.18</v>
      </c>
      <c r="V49" s="222">
        <v>109528.06</v>
      </c>
      <c r="W49" s="233">
        <v>183897.43</v>
      </c>
      <c r="X49" s="91">
        <f t="shared" ref="X49" si="26">IF(W49=0,"NA",(S49/W49))</f>
        <v>2.8397242963101772E-2</v>
      </c>
    </row>
    <row r="50" spans="2:24" s="90" customFormat="1" x14ac:dyDescent="0.35">
      <c r="B50" s="295" t="s">
        <v>46</v>
      </c>
      <c r="C50" s="256">
        <v>0</v>
      </c>
      <c r="D50" s="150">
        <v>0</v>
      </c>
      <c r="E50" s="150">
        <v>0</v>
      </c>
      <c r="F50" s="147">
        <v>893</v>
      </c>
      <c r="G50" s="262">
        <f t="shared" si="1"/>
        <v>0</v>
      </c>
      <c r="H50" s="276">
        <v>0</v>
      </c>
      <c r="I50" s="150">
        <v>0</v>
      </c>
      <c r="J50" s="150">
        <v>0</v>
      </c>
      <c r="K50" s="147">
        <v>43325</v>
      </c>
      <c r="L50" s="254">
        <f t="shared" ref="L50:L63" si="27">IF(K50=0,"NA",H50/K50)</f>
        <v>0</v>
      </c>
      <c r="M50" s="285">
        <f t="shared" si="7"/>
        <v>0</v>
      </c>
      <c r="N50" s="233">
        <v>0</v>
      </c>
      <c r="O50" s="233">
        <v>0</v>
      </c>
      <c r="P50" s="222">
        <v>0</v>
      </c>
      <c r="Q50" s="233">
        <v>168817</v>
      </c>
      <c r="R50" s="262">
        <f t="shared" si="8"/>
        <v>0</v>
      </c>
      <c r="S50" s="241">
        <f t="shared" si="3"/>
        <v>0</v>
      </c>
      <c r="T50" s="233">
        <v>0</v>
      </c>
      <c r="U50" s="233">
        <v>0</v>
      </c>
      <c r="V50" s="222">
        <v>0</v>
      </c>
      <c r="W50" s="233">
        <v>120613</v>
      </c>
      <c r="X50" s="91">
        <f t="shared" si="9"/>
        <v>0</v>
      </c>
    </row>
    <row r="51" spans="2:24" s="90" customFormat="1" x14ac:dyDescent="0.35">
      <c r="B51" s="295" t="s">
        <v>47</v>
      </c>
      <c r="C51" s="256">
        <v>62</v>
      </c>
      <c r="D51" s="150">
        <v>41.7</v>
      </c>
      <c r="E51" s="150">
        <v>41.7</v>
      </c>
      <c r="F51" s="147">
        <v>208</v>
      </c>
      <c r="G51" s="262">
        <f t="shared" si="1"/>
        <v>0.29807692307692307</v>
      </c>
      <c r="H51" s="276">
        <v>677</v>
      </c>
      <c r="I51" s="150">
        <v>3092.31</v>
      </c>
      <c r="J51" s="150">
        <v>3062.18</v>
      </c>
      <c r="K51" s="147">
        <v>3796</v>
      </c>
      <c r="L51" s="254">
        <f t="shared" si="27"/>
        <v>0.17834562697576395</v>
      </c>
      <c r="M51" s="285">
        <f t="shared" si="7"/>
        <v>179261.33000000002</v>
      </c>
      <c r="N51" s="233">
        <v>102020.1</v>
      </c>
      <c r="O51" s="233">
        <v>77241.23</v>
      </c>
      <c r="P51" s="222">
        <v>48387</v>
      </c>
      <c r="Q51" s="233">
        <v>694670.98</v>
      </c>
      <c r="R51" s="262">
        <f t="shared" si="8"/>
        <v>0.25805213570314972</v>
      </c>
      <c r="S51" s="241">
        <f t="shared" si="3"/>
        <v>21583.87</v>
      </c>
      <c r="T51" s="233">
        <v>11213.9</v>
      </c>
      <c r="U51" s="233">
        <v>10369.969999999999</v>
      </c>
      <c r="V51" s="222">
        <v>24048</v>
      </c>
      <c r="W51" s="233">
        <v>79749.209999999992</v>
      </c>
      <c r="X51" s="91">
        <f t="shared" si="9"/>
        <v>0.27064681894654508</v>
      </c>
    </row>
    <row r="52" spans="2:24" s="90" customFormat="1" x14ac:dyDescent="0.35">
      <c r="B52" s="295" t="s">
        <v>48</v>
      </c>
      <c r="C52" s="256">
        <v>0</v>
      </c>
      <c r="D52" s="150">
        <v>0</v>
      </c>
      <c r="E52" s="150">
        <v>0</v>
      </c>
      <c r="F52" s="147">
        <v>34.649000000000001</v>
      </c>
      <c r="G52" s="262">
        <f t="shared" si="1"/>
        <v>0</v>
      </c>
      <c r="H52" s="276">
        <v>0</v>
      </c>
      <c r="I52" s="150">
        <v>0</v>
      </c>
      <c r="J52" s="150">
        <v>0</v>
      </c>
      <c r="K52" s="147">
        <v>1240.6484641638224</v>
      </c>
      <c r="L52" s="254">
        <f t="shared" si="27"/>
        <v>0</v>
      </c>
      <c r="M52" s="285">
        <f t="shared" si="7"/>
        <v>982.31</v>
      </c>
      <c r="N52" s="233">
        <v>0</v>
      </c>
      <c r="O52" s="233">
        <v>982.31</v>
      </c>
      <c r="P52" s="222">
        <v>0</v>
      </c>
      <c r="Q52" s="233">
        <v>203469.95</v>
      </c>
      <c r="R52" s="262">
        <f t="shared" si="8"/>
        <v>4.8277890666410441E-3</v>
      </c>
      <c r="S52" s="241">
        <f t="shared" si="3"/>
        <v>0</v>
      </c>
      <c r="T52" s="233">
        <v>0</v>
      </c>
      <c r="U52" s="233">
        <v>0</v>
      </c>
      <c r="V52" s="222">
        <v>0</v>
      </c>
      <c r="W52" s="233">
        <v>0</v>
      </c>
      <c r="X52" s="91" t="str">
        <f t="shared" si="9"/>
        <v>NA</v>
      </c>
    </row>
    <row r="53" spans="2:24" s="90" customFormat="1" x14ac:dyDescent="0.35">
      <c r="B53" s="295" t="s">
        <v>49</v>
      </c>
      <c r="C53" s="256">
        <v>246</v>
      </c>
      <c r="D53" s="150">
        <v>1299.01</v>
      </c>
      <c r="E53" s="150">
        <v>1299.01</v>
      </c>
      <c r="F53" s="147">
        <v>1127</v>
      </c>
      <c r="G53" s="262">
        <f t="shared" si="1"/>
        <v>0.21827861579414373</v>
      </c>
      <c r="H53" s="276">
        <v>21911</v>
      </c>
      <c r="I53" s="150">
        <v>105271.22</v>
      </c>
      <c r="J53" s="150">
        <v>105219.56</v>
      </c>
      <c r="K53" s="147">
        <v>88772</v>
      </c>
      <c r="L53" s="254">
        <f t="shared" si="27"/>
        <v>0.24682332266931015</v>
      </c>
      <c r="M53" s="285">
        <f t="shared" si="7"/>
        <v>623263.09</v>
      </c>
      <c r="N53" s="233">
        <v>350280.92</v>
      </c>
      <c r="O53" s="233">
        <v>272982.17</v>
      </c>
      <c r="P53" s="222">
        <v>3322754</v>
      </c>
      <c r="Q53" s="233">
        <v>2464862.06</v>
      </c>
      <c r="R53" s="262">
        <f t="shared" si="8"/>
        <v>0.25285921679527978</v>
      </c>
      <c r="S53" s="241">
        <f t="shared" si="3"/>
        <v>338910.32</v>
      </c>
      <c r="T53" s="233">
        <v>282577.49</v>
      </c>
      <c r="U53" s="233">
        <v>56332.83</v>
      </c>
      <c r="V53" s="222">
        <v>1446479</v>
      </c>
      <c r="W53" s="233">
        <v>1535513.37</v>
      </c>
      <c r="X53" s="91">
        <f t="shared" si="9"/>
        <v>0.22071466561049871</v>
      </c>
    </row>
    <row r="54" spans="2:24" s="90" customFormat="1" x14ac:dyDescent="0.35">
      <c r="B54" s="295" t="s">
        <v>50</v>
      </c>
      <c r="C54" s="256">
        <v>623.83999999999992</v>
      </c>
      <c r="D54" s="150">
        <v>5769</v>
      </c>
      <c r="E54" s="150">
        <v>5769</v>
      </c>
      <c r="F54" s="147">
        <v>3189.4169999999999</v>
      </c>
      <c r="G54" s="262">
        <f t="shared" si="1"/>
        <v>0.19559687554183097</v>
      </c>
      <c r="H54" s="276">
        <v>86724.331058020471</v>
      </c>
      <c r="I54" s="150">
        <v>341805</v>
      </c>
      <c r="J54" s="150">
        <v>341376.29</v>
      </c>
      <c r="K54" s="147">
        <v>220356.96245733788</v>
      </c>
      <c r="L54" s="254">
        <f t="shared" si="27"/>
        <v>0.39356292667544235</v>
      </c>
      <c r="M54" s="285">
        <f t="shared" si="7"/>
        <v>4278200.22</v>
      </c>
      <c r="N54" s="233">
        <v>1661734.18</v>
      </c>
      <c r="O54" s="233">
        <v>2616466.04</v>
      </c>
      <c r="P54" s="222">
        <v>23046160</v>
      </c>
      <c r="Q54" s="233">
        <v>20462139.829999998</v>
      </c>
      <c r="R54" s="262">
        <f t="shared" si="8"/>
        <v>0.20907882829183072</v>
      </c>
      <c r="S54" s="241">
        <f t="shared" si="3"/>
        <v>2369432.2199999997</v>
      </c>
      <c r="T54" s="233">
        <v>1923597.98</v>
      </c>
      <c r="U54" s="233">
        <v>445834.23999999999</v>
      </c>
      <c r="V54" s="222">
        <v>2267105</v>
      </c>
      <c r="W54" s="233">
        <v>4241245.58</v>
      </c>
      <c r="X54" s="91">
        <f t="shared" si="9"/>
        <v>0.55866423561353873</v>
      </c>
    </row>
    <row r="55" spans="2:24" s="90" customFormat="1" x14ac:dyDescent="0.35">
      <c r="B55" s="311" t="s">
        <v>51</v>
      </c>
      <c r="C55" s="263">
        <v>0</v>
      </c>
      <c r="D55" s="150">
        <v>0</v>
      </c>
      <c r="E55" s="150">
        <v>0</v>
      </c>
      <c r="F55" s="147">
        <v>100</v>
      </c>
      <c r="G55" s="262">
        <f t="shared" si="1"/>
        <v>0</v>
      </c>
      <c r="H55" s="276">
        <v>0</v>
      </c>
      <c r="I55" s="150">
        <v>0</v>
      </c>
      <c r="J55" s="150">
        <v>0</v>
      </c>
      <c r="K55" s="147">
        <v>0</v>
      </c>
      <c r="L55" s="254" t="str">
        <f t="shared" si="27"/>
        <v>NA</v>
      </c>
      <c r="M55" s="285">
        <f t="shared" si="7"/>
        <v>31438.31</v>
      </c>
      <c r="N55" s="233">
        <v>0</v>
      </c>
      <c r="O55" s="233">
        <v>31438.31</v>
      </c>
      <c r="P55" s="222">
        <v>0</v>
      </c>
      <c r="Q55" s="233">
        <v>315982.84999999998</v>
      </c>
      <c r="R55" s="262">
        <f>IF(Q55=0,"NA",(M55/Q55))</f>
        <v>9.9493722523231895E-2</v>
      </c>
      <c r="S55" s="241">
        <f t="shared" si="3"/>
        <v>0</v>
      </c>
      <c r="T55" s="233">
        <v>0</v>
      </c>
      <c r="U55" s="233">
        <v>0</v>
      </c>
      <c r="V55" s="222">
        <v>0</v>
      </c>
      <c r="W55" s="233">
        <v>0</v>
      </c>
      <c r="X55" s="91" t="str">
        <f t="shared" si="9"/>
        <v>NA</v>
      </c>
    </row>
    <row r="56" spans="2:24" s="90" customFormat="1" x14ac:dyDescent="0.35">
      <c r="B56" s="295" t="s">
        <v>52</v>
      </c>
      <c r="C56" s="256">
        <v>661</v>
      </c>
      <c r="D56" s="150">
        <v>12690</v>
      </c>
      <c r="E56" s="150">
        <v>12690</v>
      </c>
      <c r="F56" s="147">
        <v>10249</v>
      </c>
      <c r="G56" s="262">
        <f t="shared" si="1"/>
        <v>6.4494096985071719E-2</v>
      </c>
      <c r="H56" s="276">
        <v>2596</v>
      </c>
      <c r="I56" s="150">
        <v>142978.70000000001</v>
      </c>
      <c r="J56" s="150">
        <v>145110.32</v>
      </c>
      <c r="K56" s="147">
        <v>47374</v>
      </c>
      <c r="L56" s="254">
        <f t="shared" si="27"/>
        <v>5.4797990458901505E-2</v>
      </c>
      <c r="M56" s="285">
        <f t="shared" si="7"/>
        <v>1344390.3399999999</v>
      </c>
      <c r="N56" s="233">
        <v>382617.86</v>
      </c>
      <c r="O56" s="233">
        <v>961772.48</v>
      </c>
      <c r="P56" s="222">
        <v>13961881</v>
      </c>
      <c r="Q56" s="233">
        <v>12302609.77</v>
      </c>
      <c r="R56" s="262">
        <f t="shared" si="8"/>
        <v>0.10927684167291928</v>
      </c>
      <c r="S56" s="241">
        <f t="shared" si="3"/>
        <v>84161.290000000008</v>
      </c>
      <c r="T56" s="233">
        <v>14135.08</v>
      </c>
      <c r="U56" s="233">
        <v>70026.210000000006</v>
      </c>
      <c r="V56" s="222">
        <v>486781</v>
      </c>
      <c r="W56" s="233">
        <v>905860.54</v>
      </c>
      <c r="X56" s="91">
        <f t="shared" si="9"/>
        <v>9.2907557271453736E-2</v>
      </c>
    </row>
    <row r="57" spans="2:24" s="90" customFormat="1" x14ac:dyDescent="0.35">
      <c r="B57" s="295" t="s">
        <v>53</v>
      </c>
      <c r="C57" s="256">
        <v>576.83400000000006</v>
      </c>
      <c r="D57" s="150">
        <v>2723.29</v>
      </c>
      <c r="E57" s="150">
        <v>2723.29</v>
      </c>
      <c r="F57" s="147">
        <v>2266.3429999999998</v>
      </c>
      <c r="G57" s="262">
        <f t="shared" si="1"/>
        <v>0.25452193247006305</v>
      </c>
      <c r="H57" s="276">
        <v>46293.726962457338</v>
      </c>
      <c r="I57" s="150">
        <v>788098.73</v>
      </c>
      <c r="J57" s="150">
        <v>778830.43</v>
      </c>
      <c r="K57" s="147">
        <v>148289.1023890785</v>
      </c>
      <c r="L57" s="254">
        <f t="shared" si="27"/>
        <v>0.31218563074845934</v>
      </c>
      <c r="M57" s="285">
        <f t="shared" si="7"/>
        <v>123066.51000000001</v>
      </c>
      <c r="N57" s="233">
        <v>50294.04</v>
      </c>
      <c r="O57" s="233">
        <v>72772.47</v>
      </c>
      <c r="P57" s="222">
        <v>529146</v>
      </c>
      <c r="Q57" s="233">
        <v>676599.89</v>
      </c>
      <c r="R57" s="262">
        <f t="shared" si="8"/>
        <v>0.18188963938495467</v>
      </c>
      <c r="S57" s="241">
        <f t="shared" si="3"/>
        <v>115059.83</v>
      </c>
      <c r="T57" s="233">
        <v>68501.91</v>
      </c>
      <c r="U57" s="233">
        <v>46557.919999999998</v>
      </c>
      <c r="V57" s="222">
        <v>2960087.07</v>
      </c>
      <c r="W57" s="233">
        <v>389082.12</v>
      </c>
      <c r="X57" s="91">
        <f t="shared" si="9"/>
        <v>0.29572119633767802</v>
      </c>
    </row>
    <row r="58" spans="2:24" s="90" customFormat="1" x14ac:dyDescent="0.35">
      <c r="B58" s="295" t="s">
        <v>54</v>
      </c>
      <c r="C58" s="256">
        <v>4779.442</v>
      </c>
      <c r="D58" s="150">
        <v>7244</v>
      </c>
      <c r="E58" s="150">
        <v>7244</v>
      </c>
      <c r="F58" s="147">
        <v>18148.778999999999</v>
      </c>
      <c r="G58" s="262">
        <f t="shared" si="1"/>
        <v>0.26334785386939807</v>
      </c>
      <c r="H58" s="276">
        <v>13857.638225255972</v>
      </c>
      <c r="I58" s="150">
        <v>92868.17</v>
      </c>
      <c r="J58" s="150">
        <v>93306.69</v>
      </c>
      <c r="K58" s="147">
        <v>174010.75426621162</v>
      </c>
      <c r="L58" s="254">
        <f t="shared" si="27"/>
        <v>7.9636676961101868E-2</v>
      </c>
      <c r="M58" s="285">
        <f t="shared" si="7"/>
        <v>1130247.6200000001</v>
      </c>
      <c r="N58" s="233">
        <v>896572.24000000011</v>
      </c>
      <c r="O58" s="233">
        <v>233675.38</v>
      </c>
      <c r="P58" s="222">
        <v>1166096</v>
      </c>
      <c r="Q58" s="233">
        <v>3942154.9</v>
      </c>
      <c r="R58" s="262">
        <f t="shared" si="8"/>
        <v>0.28670806923391068</v>
      </c>
      <c r="S58" s="241">
        <f t="shared" si="3"/>
        <v>54540.31</v>
      </c>
      <c r="T58" s="233">
        <v>41500.36</v>
      </c>
      <c r="U58" s="233">
        <v>13039.95</v>
      </c>
      <c r="V58" s="222">
        <v>449138.07</v>
      </c>
      <c r="W58" s="233">
        <v>154948.60999999999</v>
      </c>
      <c r="X58" s="91">
        <f t="shared" si="9"/>
        <v>0.35198966934908293</v>
      </c>
    </row>
    <row r="59" spans="2:24" s="90" customFormat="1" x14ac:dyDescent="0.35">
      <c r="B59" s="295" t="s">
        <v>55</v>
      </c>
      <c r="C59" s="256">
        <v>22</v>
      </c>
      <c r="D59" s="150">
        <v>313.13</v>
      </c>
      <c r="E59" s="150">
        <v>313.13</v>
      </c>
      <c r="F59" s="147">
        <v>1008</v>
      </c>
      <c r="G59" s="262">
        <f t="shared" si="1"/>
        <v>2.1825396825396824E-2</v>
      </c>
      <c r="H59" s="276">
        <v>854</v>
      </c>
      <c r="I59" s="150">
        <v>23284.03</v>
      </c>
      <c r="J59" s="150">
        <v>23284.03</v>
      </c>
      <c r="K59" s="147">
        <v>61050</v>
      </c>
      <c r="L59" s="254">
        <f t="shared" si="27"/>
        <v>1.3988533988533988E-2</v>
      </c>
      <c r="M59" s="285">
        <f t="shared" si="7"/>
        <v>654.87</v>
      </c>
      <c r="N59" s="233">
        <v>0</v>
      </c>
      <c r="O59" s="233">
        <v>654.87</v>
      </c>
      <c r="P59" s="222">
        <v>114105</v>
      </c>
      <c r="Q59" s="233">
        <v>260915.3</v>
      </c>
      <c r="R59" s="262">
        <f t="shared" si="8"/>
        <v>2.5098949735795489E-3</v>
      </c>
      <c r="S59" s="241">
        <f t="shared" si="3"/>
        <v>547.09</v>
      </c>
      <c r="T59" s="233">
        <v>0</v>
      </c>
      <c r="U59" s="233">
        <v>547.09</v>
      </c>
      <c r="V59" s="222">
        <v>71919.09</v>
      </c>
      <c r="W59" s="233">
        <v>91949.16</v>
      </c>
      <c r="X59" s="91">
        <f t="shared" si="9"/>
        <v>5.9499184114351891E-3</v>
      </c>
    </row>
    <row r="60" spans="2:24" s="90" customFormat="1" x14ac:dyDescent="0.35">
      <c r="B60" s="295" t="s">
        <v>56</v>
      </c>
      <c r="C60" s="256">
        <v>96.117000000000019</v>
      </c>
      <c r="D60" s="150">
        <v>1195</v>
      </c>
      <c r="E60" s="150">
        <v>1195</v>
      </c>
      <c r="F60" s="147">
        <v>1021.0149999999999</v>
      </c>
      <c r="G60" s="262">
        <f t="shared" si="1"/>
        <v>9.4138675729543667E-2</v>
      </c>
      <c r="H60" s="276">
        <v>16201.460750853243</v>
      </c>
      <c r="I60" s="150">
        <v>61088</v>
      </c>
      <c r="J60" s="150">
        <v>60377.63</v>
      </c>
      <c r="K60" s="147">
        <v>79287.720136518765</v>
      </c>
      <c r="L60" s="254">
        <f t="shared" si="27"/>
        <v>0.20433757866864288</v>
      </c>
      <c r="M60" s="285">
        <f t="shared" si="7"/>
        <v>158173.53999999998</v>
      </c>
      <c r="N60" s="233">
        <v>48623.17</v>
      </c>
      <c r="O60" s="233">
        <v>109550.37</v>
      </c>
      <c r="P60" s="222">
        <v>684698</v>
      </c>
      <c r="Q60" s="233">
        <v>843529.06</v>
      </c>
      <c r="R60" s="262">
        <f t="shared" si="8"/>
        <v>0.18751403774992645</v>
      </c>
      <c r="S60" s="241">
        <f t="shared" si="3"/>
        <v>17429.62</v>
      </c>
      <c r="T60" s="233">
        <v>3343.4399999999996</v>
      </c>
      <c r="U60" s="233">
        <v>14086.18</v>
      </c>
      <c r="V60" s="222">
        <v>148188</v>
      </c>
      <c r="W60" s="233">
        <v>68136.09</v>
      </c>
      <c r="X60" s="91">
        <f t="shared" si="9"/>
        <v>0.25580599062846138</v>
      </c>
    </row>
    <row r="61" spans="2:24" s="90" customFormat="1" x14ac:dyDescent="0.35">
      <c r="B61" s="295" t="s">
        <v>57</v>
      </c>
      <c r="C61" s="256">
        <v>75</v>
      </c>
      <c r="D61" s="150">
        <v>724.43</v>
      </c>
      <c r="E61" s="150">
        <v>724.43</v>
      </c>
      <c r="F61" s="147">
        <v>874</v>
      </c>
      <c r="G61" s="262">
        <f t="shared" si="1"/>
        <v>8.5812356979405036E-2</v>
      </c>
      <c r="H61" s="276">
        <v>0</v>
      </c>
      <c r="I61" s="150">
        <v>1.63</v>
      </c>
      <c r="J61" s="150">
        <v>1.63</v>
      </c>
      <c r="K61" s="147">
        <v>0</v>
      </c>
      <c r="L61" s="254" t="str">
        <f t="shared" si="27"/>
        <v>NA</v>
      </c>
      <c r="M61" s="285"/>
      <c r="N61" s="233">
        <v>86452.19</v>
      </c>
      <c r="O61" s="233">
        <v>64737.22</v>
      </c>
      <c r="P61" s="222">
        <v>1251230</v>
      </c>
      <c r="Q61" s="233">
        <v>1251407.6499999999</v>
      </c>
      <c r="R61" s="262">
        <f>IF(Q61=0,"NA",(M61/Q61))</f>
        <v>0</v>
      </c>
      <c r="S61" s="241">
        <f t="shared" si="3"/>
        <v>0</v>
      </c>
      <c r="T61" s="233">
        <v>0</v>
      </c>
      <c r="U61" s="233">
        <v>0</v>
      </c>
      <c r="V61" s="222">
        <v>58.94</v>
      </c>
      <c r="W61" s="233">
        <v>0</v>
      </c>
      <c r="X61" s="91" t="str">
        <f>IF(W61=0,"NA",(S61/W61))</f>
        <v>NA</v>
      </c>
    </row>
    <row r="62" spans="2:24" s="90" customFormat="1" x14ac:dyDescent="0.35">
      <c r="B62" s="295" t="s">
        <v>58</v>
      </c>
      <c r="C62" s="256">
        <v>377</v>
      </c>
      <c r="D62" s="150">
        <v>1676.22</v>
      </c>
      <c r="E62" s="150">
        <v>1676.22</v>
      </c>
      <c r="F62" s="147">
        <v>881</v>
      </c>
      <c r="G62" s="262">
        <f t="shared" si="1"/>
        <v>0.42792281498297391</v>
      </c>
      <c r="H62" s="276">
        <v>21644</v>
      </c>
      <c r="I62" s="150">
        <v>55803</v>
      </c>
      <c r="J62" s="150">
        <v>55716.04</v>
      </c>
      <c r="K62" s="147">
        <v>44414</v>
      </c>
      <c r="L62" s="254">
        <f t="shared" si="27"/>
        <v>0.48732381681451792</v>
      </c>
      <c r="M62" s="285"/>
      <c r="N62" s="233">
        <v>324362.45999999996</v>
      </c>
      <c r="O62" s="233">
        <v>267442.02</v>
      </c>
      <c r="P62" s="222">
        <v>1551313</v>
      </c>
      <c r="Q62" s="233">
        <v>2179361.92</v>
      </c>
      <c r="R62" s="262">
        <f>IF(Q62=0,"NA",(M62/Q62))</f>
        <v>0</v>
      </c>
      <c r="S62" s="241">
        <f t="shared" si="3"/>
        <v>381451.14</v>
      </c>
      <c r="T62" s="233">
        <v>321860.69</v>
      </c>
      <c r="U62" s="233">
        <v>59590.45</v>
      </c>
      <c r="V62" s="222">
        <v>908470</v>
      </c>
      <c r="W62" s="233">
        <v>572013.14</v>
      </c>
      <c r="X62" s="91">
        <f>IF(W62=0,"NA",(S62/W62))</f>
        <v>0.66685730331299731</v>
      </c>
    </row>
    <row r="63" spans="2:24" s="90" customFormat="1" x14ac:dyDescent="0.35">
      <c r="B63" s="295" t="s">
        <v>59</v>
      </c>
      <c r="C63" s="256">
        <v>-9.9920000000000009</v>
      </c>
      <c r="D63" s="150">
        <v>300</v>
      </c>
      <c r="E63" s="150">
        <v>300</v>
      </c>
      <c r="F63" s="147">
        <v>133.65</v>
      </c>
      <c r="G63" s="262">
        <f t="shared" si="1"/>
        <v>-7.4762439206883649E-2</v>
      </c>
      <c r="H63" s="276">
        <v>1562.4129692832764</v>
      </c>
      <c r="I63" s="150">
        <v>0</v>
      </c>
      <c r="J63" s="150">
        <v>0</v>
      </c>
      <c r="K63" s="147">
        <v>7588.7372013651875</v>
      </c>
      <c r="L63" s="254">
        <f t="shared" si="27"/>
        <v>0.20588576568473127</v>
      </c>
      <c r="M63" s="285"/>
      <c r="N63" s="233">
        <v>65263.25</v>
      </c>
      <c r="O63" s="233">
        <v>116719.61</v>
      </c>
      <c r="P63" s="222">
        <v>847600</v>
      </c>
      <c r="Q63" s="233">
        <v>1311707.28</v>
      </c>
      <c r="R63" s="262">
        <f>IF(Q63=0,"NA",(M63/Q63))</f>
        <v>0</v>
      </c>
      <c r="S63" s="241">
        <f t="shared" si="3"/>
        <v>60997.78</v>
      </c>
      <c r="T63" s="233">
        <v>43997.26</v>
      </c>
      <c r="U63" s="233">
        <v>17000.52</v>
      </c>
      <c r="V63" s="222">
        <v>0</v>
      </c>
      <c r="W63" s="233">
        <v>56195.03</v>
      </c>
      <c r="X63" s="91">
        <f>IF(W63=0,"NA",(S63/W63))</f>
        <v>1.0854657431449009</v>
      </c>
    </row>
    <row r="64" spans="2:24" s="90" customFormat="1" x14ac:dyDescent="0.35">
      <c r="B64" s="295"/>
      <c r="C64" s="256"/>
      <c r="D64" s="150"/>
      <c r="E64" s="150"/>
      <c r="F64" s="147"/>
      <c r="G64" s="262"/>
      <c r="I64" s="150"/>
      <c r="J64" s="150"/>
      <c r="K64" s="147"/>
      <c r="L64" s="262"/>
      <c r="M64" s="285"/>
      <c r="N64" s="233"/>
      <c r="O64" s="233"/>
      <c r="P64" s="222"/>
      <c r="Q64" s="233"/>
      <c r="R64" s="262"/>
      <c r="S64" s="241"/>
      <c r="T64" s="233"/>
      <c r="U64" s="233"/>
      <c r="V64" s="222"/>
      <c r="W64" s="233"/>
      <c r="X64" s="91"/>
    </row>
    <row r="65" spans="2:24" s="90" customFormat="1" x14ac:dyDescent="0.35">
      <c r="B65" s="295"/>
      <c r="C65" s="256"/>
      <c r="D65" s="147"/>
      <c r="E65" s="147"/>
      <c r="F65" s="147"/>
      <c r="G65" s="262"/>
      <c r="H65" s="276"/>
      <c r="I65" s="147"/>
      <c r="J65" s="147"/>
      <c r="K65" s="147"/>
      <c r="L65" s="262"/>
      <c r="M65" s="285"/>
      <c r="N65" s="233"/>
      <c r="O65" s="233"/>
      <c r="P65" s="233"/>
      <c r="Q65" s="233"/>
      <c r="R65" s="262"/>
      <c r="S65" s="241"/>
      <c r="T65" s="233"/>
      <c r="U65" s="233"/>
      <c r="V65" s="233"/>
      <c r="W65" s="225"/>
      <c r="X65" s="91"/>
    </row>
    <row r="66" spans="2:24" s="88" customFormat="1" ht="15.75" customHeight="1" x14ac:dyDescent="0.35">
      <c r="B66" s="296" t="s">
        <v>60</v>
      </c>
      <c r="C66" s="264">
        <f>SUM(C49:C65)</f>
        <v>7509.241</v>
      </c>
      <c r="D66" s="217">
        <f>SUM(D49:D65)</f>
        <v>35267.25</v>
      </c>
      <c r="E66" s="217">
        <f>SUM(E49:E65)</f>
        <v>35267.25</v>
      </c>
      <c r="F66" s="217">
        <f>SUM(F49:F65)</f>
        <v>42462.852999999996</v>
      </c>
      <c r="G66" s="258">
        <f t="shared" si="1"/>
        <v>0.17684259227706628</v>
      </c>
      <c r="H66" s="264">
        <f>SUM(H49:H65)</f>
        <v>212321.56996587029</v>
      </c>
      <c r="I66" s="217">
        <f>SUM(I49:I65)</f>
        <v>1667554.43</v>
      </c>
      <c r="J66" s="217">
        <f>SUM(J49:J65)</f>
        <v>1659548.4399999997</v>
      </c>
      <c r="K66" s="217">
        <f>SUM(K49:K65)</f>
        <v>1028304.9249146758</v>
      </c>
      <c r="L66" s="258">
        <f t="shared" ref="L66" si="28">IF(K66=0,"NA",H66/K66)</f>
        <v>0.20647724699314049</v>
      </c>
      <c r="M66" s="287">
        <f>SUM(N66:O66)</f>
        <v>8800876.1600000001</v>
      </c>
      <c r="N66" s="230">
        <f>SUM(N49:N65)</f>
        <v>3968220.41</v>
      </c>
      <c r="O66" s="230">
        <f>SUM(O49:O65)</f>
        <v>4832655.7500000009</v>
      </c>
      <c r="P66" s="230">
        <f>SUM(P49:P65)</f>
        <v>46719706</v>
      </c>
      <c r="Q66" s="230">
        <f>SUM(Q49:Q65)</f>
        <v>47413444.780000001</v>
      </c>
      <c r="R66" s="258">
        <f t="shared" si="8"/>
        <v>0.18561984265932091</v>
      </c>
      <c r="S66" s="243">
        <f t="shared" si="3"/>
        <v>3449335.65</v>
      </c>
      <c r="T66" s="230">
        <f>SUM(T49:T65)</f>
        <v>2710728.11</v>
      </c>
      <c r="U66" s="230">
        <f>SUM(U49:U65)</f>
        <v>738607.53999999992</v>
      </c>
      <c r="V66" s="230">
        <f>SUM(V49:V65)</f>
        <v>8871802.2300000004</v>
      </c>
      <c r="W66" s="224">
        <f>SUM(W49:W65)</f>
        <v>8399203.2799999993</v>
      </c>
      <c r="X66" s="11">
        <f t="shared" si="9"/>
        <v>0.4106741478937036</v>
      </c>
    </row>
    <row r="67" spans="2:24" s="88" customFormat="1" ht="15.65" customHeight="1" x14ac:dyDescent="0.35">
      <c r="B67" s="298" t="s">
        <v>61</v>
      </c>
      <c r="C67" s="260"/>
      <c r="D67" s="218"/>
      <c r="E67" s="218"/>
      <c r="F67" s="218"/>
      <c r="G67" s="261"/>
      <c r="H67" s="277"/>
      <c r="I67" s="219"/>
      <c r="J67" s="218"/>
      <c r="K67" s="219"/>
      <c r="L67" s="261"/>
      <c r="M67" s="284"/>
      <c r="N67" s="127"/>
      <c r="O67" s="127"/>
      <c r="P67" s="127"/>
      <c r="Q67" s="127"/>
      <c r="R67" s="261"/>
      <c r="S67" s="244"/>
      <c r="T67" s="234"/>
      <c r="U67" s="234"/>
      <c r="V67" s="234"/>
      <c r="W67" s="229"/>
      <c r="X67" s="103"/>
    </row>
    <row r="68" spans="2:24" s="93" customFormat="1" x14ac:dyDescent="0.35">
      <c r="B68" s="299" t="str">
        <f>B37</f>
        <v>Home Efficiency</v>
      </c>
      <c r="C68" s="351">
        <v>44</v>
      </c>
      <c r="D68" s="352">
        <f>D37</f>
        <v>1058.51</v>
      </c>
      <c r="E68" s="352">
        <f>E37</f>
        <v>1058.51</v>
      </c>
      <c r="F68" s="352">
        <v>1059</v>
      </c>
      <c r="G68" s="353">
        <f>IF(F68=0,"NA",C68/F68)</f>
        <v>4.1548630783758263E-2</v>
      </c>
      <c r="H68" s="351">
        <v>4175</v>
      </c>
      <c r="I68" s="354">
        <f>I37</f>
        <v>98491.4</v>
      </c>
      <c r="J68" s="355">
        <f>J37</f>
        <v>98465.83</v>
      </c>
      <c r="K68" s="354">
        <v>98491</v>
      </c>
      <c r="L68" s="356">
        <f>IF(K68=0,"NA",H68/K68)</f>
        <v>4.2389659968931175E-2</v>
      </c>
      <c r="M68" s="357">
        <f>M37</f>
        <v>48366.29</v>
      </c>
      <c r="N68" s="358">
        <f>N37</f>
        <v>43127.33</v>
      </c>
      <c r="O68" s="358">
        <f t="shared" ref="O68:Q68" si="29">O37</f>
        <v>5238.96</v>
      </c>
      <c r="P68" s="359">
        <f t="shared" si="29"/>
        <v>851838</v>
      </c>
      <c r="Q68" s="358">
        <f t="shared" si="29"/>
        <v>870344.39</v>
      </c>
      <c r="R68" s="353">
        <f>IF(Q68=0,"NA",(M68/Q68))</f>
        <v>5.5571438795624338E-2</v>
      </c>
      <c r="S68" s="358">
        <f>S37</f>
        <v>74640.47</v>
      </c>
      <c r="T68" s="358">
        <f t="shared" ref="T68:W68" si="30">T37</f>
        <v>67975.97</v>
      </c>
      <c r="U68" s="358">
        <f t="shared" si="30"/>
        <v>6664.5</v>
      </c>
      <c r="V68" s="358">
        <f t="shared" si="30"/>
        <v>523458.96</v>
      </c>
      <c r="W68" s="358">
        <f t="shared" si="30"/>
        <v>546618.57999999996</v>
      </c>
      <c r="X68" s="353">
        <f>IF(W68=0,"NA",(S68/W68))</f>
        <v>0.13654945647840952</v>
      </c>
    </row>
    <row r="69" spans="2:24" s="93" customFormat="1" x14ac:dyDescent="0.35">
      <c r="B69" s="299" t="str">
        <f t="shared" ref="B69:E70" si="31">B41</f>
        <v>Retail Products - POP</v>
      </c>
      <c r="C69" s="351">
        <v>807.923</v>
      </c>
      <c r="D69" s="352">
        <f t="shared" si="31"/>
        <v>13299.92</v>
      </c>
      <c r="E69" s="352">
        <f t="shared" si="31"/>
        <v>13299.92</v>
      </c>
      <c r="F69" s="352">
        <v>8227.2739999999994</v>
      </c>
      <c r="G69" s="353">
        <f t="shared" ref="G69:G73" si="32">IF(F69=0,"NA",C69/F69)</f>
        <v>9.8200570444110652E-2</v>
      </c>
      <c r="H69" s="351">
        <v>7109.761092150171</v>
      </c>
      <c r="I69" s="354">
        <f t="shared" ref="I69:J70" si="33">I41</f>
        <v>110705.35</v>
      </c>
      <c r="J69" s="355">
        <f t="shared" si="33"/>
        <v>110781.36</v>
      </c>
      <c r="K69" s="354">
        <v>103918.85324232082</v>
      </c>
      <c r="L69" s="356">
        <f t="shared" ref="L69:L73" si="34">IF(K69=0,"NA",H69/K69)</f>
        <v>6.8416469873579494E-2</v>
      </c>
      <c r="M69" s="357">
        <f>M41</f>
        <v>412723.01</v>
      </c>
      <c r="N69" s="358">
        <f>N41</f>
        <v>325994.8</v>
      </c>
      <c r="O69" s="358">
        <f t="shared" ref="O69:Q69" si="35">O41</f>
        <v>86728.21</v>
      </c>
      <c r="P69" s="359">
        <f t="shared" si="35"/>
        <v>3275102</v>
      </c>
      <c r="Q69" s="358">
        <f t="shared" si="35"/>
        <v>2372558.2599999998</v>
      </c>
      <c r="R69" s="353">
        <f t="shared" ref="R69:R73" si="36">IF(Q69=0,"NA",(M69/Q69))</f>
        <v>0.17395695480202877</v>
      </c>
      <c r="S69" s="358">
        <f>S41</f>
        <v>15844.939999999999</v>
      </c>
      <c r="T69" s="358">
        <f t="shared" ref="T69:W69" si="37">T41</f>
        <v>12252.8</v>
      </c>
      <c r="U69" s="358">
        <f t="shared" si="37"/>
        <v>3592.14</v>
      </c>
      <c r="V69" s="358">
        <f t="shared" si="37"/>
        <v>569329.15</v>
      </c>
      <c r="W69" s="358">
        <f t="shared" si="37"/>
        <v>107941.82</v>
      </c>
      <c r="X69" s="353">
        <f t="shared" ref="X69:X73" si="38">IF(W69=0,"NA",(S69/W69))</f>
        <v>0.14679148452379251</v>
      </c>
    </row>
    <row r="70" spans="2:24" s="93" customFormat="1" x14ac:dyDescent="0.35">
      <c r="B70" s="299" t="str">
        <f t="shared" si="31"/>
        <v>Retail Products - Online Marketplace</v>
      </c>
      <c r="C70" s="351">
        <v>1332.152</v>
      </c>
      <c r="D70" s="352">
        <f t="shared" si="31"/>
        <v>2028.92</v>
      </c>
      <c r="E70" s="352">
        <f t="shared" si="31"/>
        <v>2028.92</v>
      </c>
      <c r="F70" s="352">
        <v>3993.0640000000003</v>
      </c>
      <c r="G70" s="353">
        <f t="shared" si="32"/>
        <v>0.33361649099538598</v>
      </c>
      <c r="H70" s="351">
        <v>117036.86689419796</v>
      </c>
      <c r="I70" s="354">
        <f t="shared" si="33"/>
        <v>582981.43000000005</v>
      </c>
      <c r="J70" s="355">
        <f t="shared" si="33"/>
        <v>576126.92000000004</v>
      </c>
      <c r="K70" s="354">
        <v>340664.50170648459</v>
      </c>
      <c r="L70" s="356">
        <f t="shared" si="34"/>
        <v>0.34355463016524257</v>
      </c>
      <c r="M70" s="357">
        <f>M42</f>
        <v>178964.41</v>
      </c>
      <c r="N70" s="358">
        <f>N42</f>
        <v>133527.01</v>
      </c>
      <c r="O70" s="358">
        <f t="shared" ref="O70:Q70" si="39">O42</f>
        <v>45437.4</v>
      </c>
      <c r="P70" s="359">
        <f t="shared" si="39"/>
        <v>593147</v>
      </c>
      <c r="Q70" s="358">
        <f t="shared" si="39"/>
        <v>1029525.02</v>
      </c>
      <c r="R70" s="353">
        <f t="shared" si="36"/>
        <v>0.17383201624376257</v>
      </c>
      <c r="S70" s="358">
        <f>S42</f>
        <v>201506.07</v>
      </c>
      <c r="T70" s="358">
        <f t="shared" ref="T70:W70" si="40">T42</f>
        <v>181754.7</v>
      </c>
      <c r="U70" s="358">
        <f t="shared" si="40"/>
        <v>19751.37</v>
      </c>
      <c r="V70" s="358">
        <f t="shared" si="40"/>
        <v>996761.58</v>
      </c>
      <c r="W70" s="358">
        <f t="shared" si="40"/>
        <v>493820.16000000003</v>
      </c>
      <c r="X70" s="353">
        <f t="shared" si="38"/>
        <v>0.40805557634585027</v>
      </c>
    </row>
    <row r="71" spans="2:24" s="93" customFormat="1" x14ac:dyDescent="0.35">
      <c r="B71" s="299" t="str">
        <f t="shared" ref="B71:E72" si="41">B57</f>
        <v>IQ - Retail Products Online Marketplace</v>
      </c>
      <c r="C71" s="351">
        <v>576.83400000000006</v>
      </c>
      <c r="D71" s="352">
        <f t="shared" si="41"/>
        <v>2723.29</v>
      </c>
      <c r="E71" s="352">
        <f t="shared" si="41"/>
        <v>2723.29</v>
      </c>
      <c r="F71" s="352">
        <v>2266.3429999999998</v>
      </c>
      <c r="G71" s="353">
        <f t="shared" si="32"/>
        <v>0.25452193247006305</v>
      </c>
      <c r="H71" s="351">
        <v>46293.726962457338</v>
      </c>
      <c r="I71" s="354">
        <f t="shared" ref="I71:J72" si="42">I57</f>
        <v>788098.73</v>
      </c>
      <c r="J71" s="355">
        <f t="shared" si="42"/>
        <v>778830.43</v>
      </c>
      <c r="K71" s="354">
        <v>148289.1023890785</v>
      </c>
      <c r="L71" s="356">
        <f t="shared" si="34"/>
        <v>0.31218563074845934</v>
      </c>
      <c r="M71" s="357">
        <f>M57</f>
        <v>123066.51000000001</v>
      </c>
      <c r="N71" s="358">
        <f>N57</f>
        <v>50294.04</v>
      </c>
      <c r="O71" s="358">
        <f t="shared" ref="O71:Q71" si="43">O57</f>
        <v>72772.47</v>
      </c>
      <c r="P71" s="359">
        <f t="shared" si="43"/>
        <v>529146</v>
      </c>
      <c r="Q71" s="358">
        <f t="shared" si="43"/>
        <v>676599.89</v>
      </c>
      <c r="R71" s="353">
        <f t="shared" si="36"/>
        <v>0.18188963938495467</v>
      </c>
      <c r="S71" s="358">
        <f>S57</f>
        <v>115059.83</v>
      </c>
      <c r="T71" s="358">
        <f t="shared" ref="T71:W71" si="44">T57</f>
        <v>68501.91</v>
      </c>
      <c r="U71" s="358">
        <f t="shared" si="44"/>
        <v>46557.919999999998</v>
      </c>
      <c r="V71" s="358">
        <f t="shared" si="44"/>
        <v>2960087.07</v>
      </c>
      <c r="W71" s="358">
        <f t="shared" si="44"/>
        <v>389082.12</v>
      </c>
      <c r="X71" s="353">
        <f t="shared" si="38"/>
        <v>0.29572119633767802</v>
      </c>
    </row>
    <row r="72" spans="2:24" s="93" customFormat="1" x14ac:dyDescent="0.35">
      <c r="B72" s="299" t="str">
        <f t="shared" si="41"/>
        <v>IQ - Retail Products POP</v>
      </c>
      <c r="C72" s="351">
        <v>4779.442</v>
      </c>
      <c r="D72" s="352">
        <f t="shared" si="41"/>
        <v>7244</v>
      </c>
      <c r="E72" s="352">
        <f t="shared" si="41"/>
        <v>7244</v>
      </c>
      <c r="F72" s="352">
        <v>18148.778999999999</v>
      </c>
      <c r="G72" s="353">
        <f t="shared" si="32"/>
        <v>0.26334785386939807</v>
      </c>
      <c r="H72" s="351">
        <v>13857.638225255972</v>
      </c>
      <c r="I72" s="354">
        <f t="shared" si="42"/>
        <v>92868.17</v>
      </c>
      <c r="J72" s="355">
        <f t="shared" si="42"/>
        <v>93306.69</v>
      </c>
      <c r="K72" s="354">
        <v>174010.75426621162</v>
      </c>
      <c r="L72" s="356">
        <f t="shared" si="34"/>
        <v>7.9636676961101868E-2</v>
      </c>
      <c r="M72" s="357">
        <f>M58</f>
        <v>1130247.6200000001</v>
      </c>
      <c r="N72" s="358">
        <f>N58</f>
        <v>896572.24000000011</v>
      </c>
      <c r="O72" s="358">
        <f t="shared" ref="O72:Q72" si="45">O58</f>
        <v>233675.38</v>
      </c>
      <c r="P72" s="359">
        <f t="shared" si="45"/>
        <v>1166096</v>
      </c>
      <c r="Q72" s="358">
        <f t="shared" si="45"/>
        <v>3942154.9</v>
      </c>
      <c r="R72" s="353">
        <f t="shared" si="36"/>
        <v>0.28670806923391068</v>
      </c>
      <c r="S72" s="358">
        <f>S58</f>
        <v>54540.31</v>
      </c>
      <c r="T72" s="358">
        <f t="shared" ref="T72:W72" si="46">T58</f>
        <v>41500.36</v>
      </c>
      <c r="U72" s="358">
        <f t="shared" si="46"/>
        <v>13039.95</v>
      </c>
      <c r="V72" s="358">
        <f t="shared" si="46"/>
        <v>449138.07</v>
      </c>
      <c r="W72" s="358">
        <f t="shared" si="46"/>
        <v>154948.60999999999</v>
      </c>
      <c r="X72" s="353">
        <f t="shared" si="38"/>
        <v>0.35198966934908293</v>
      </c>
    </row>
    <row r="73" spans="2:24" s="93" customFormat="1" x14ac:dyDescent="0.35">
      <c r="B73" s="299" t="str">
        <f>B28</f>
        <v>Retro-Commissioning</v>
      </c>
      <c r="C73" s="351">
        <v>1067</v>
      </c>
      <c r="D73" s="352">
        <f>D28</f>
        <v>5411</v>
      </c>
      <c r="E73" s="352">
        <f>E28</f>
        <v>5411</v>
      </c>
      <c r="F73" s="352">
        <v>9435</v>
      </c>
      <c r="G73" s="353">
        <f t="shared" si="32"/>
        <v>0.11308956014838367</v>
      </c>
      <c r="H73" s="351">
        <v>50018</v>
      </c>
      <c r="I73" s="354">
        <f>I28</f>
        <v>60580</v>
      </c>
      <c r="J73" s="355">
        <f>J28</f>
        <v>60580</v>
      </c>
      <c r="K73" s="354">
        <v>50490</v>
      </c>
      <c r="L73" s="356">
        <f t="shared" si="34"/>
        <v>0.99065161418102599</v>
      </c>
      <c r="M73" s="357">
        <f>M28</f>
        <v>744577.99</v>
      </c>
      <c r="N73" s="358">
        <f>N28</f>
        <v>206874.18</v>
      </c>
      <c r="O73" s="358">
        <f t="shared" ref="O73:Q73" si="47">O28</f>
        <v>537703.81000000006</v>
      </c>
      <c r="P73" s="359">
        <f t="shared" si="47"/>
        <v>2082555</v>
      </c>
      <c r="Q73" s="358">
        <f t="shared" si="47"/>
        <v>2597201.2599999998</v>
      </c>
      <c r="R73" s="353">
        <f t="shared" si="36"/>
        <v>0.28668474848961073</v>
      </c>
      <c r="S73" s="358">
        <f>S28</f>
        <v>29702.23</v>
      </c>
      <c r="T73" s="358">
        <f t="shared" ref="T73:W73" si="48">T28</f>
        <v>11677.71</v>
      </c>
      <c r="U73" s="358">
        <f t="shared" si="48"/>
        <v>18024.52</v>
      </c>
      <c r="V73" s="358">
        <f t="shared" si="48"/>
        <v>37877.19</v>
      </c>
      <c r="W73" s="358">
        <f t="shared" si="48"/>
        <v>187637.93</v>
      </c>
      <c r="X73" s="353">
        <f t="shared" si="38"/>
        <v>0.15829544698132195</v>
      </c>
    </row>
    <row r="74" spans="2:24" s="93" customFormat="1" x14ac:dyDescent="0.35">
      <c r="B74" s="299"/>
      <c r="C74" s="351"/>
      <c r="D74" s="352"/>
      <c r="E74" s="352"/>
      <c r="F74" s="352"/>
      <c r="G74" s="353"/>
      <c r="H74" s="351"/>
      <c r="I74" s="360"/>
      <c r="J74" s="352"/>
      <c r="K74" s="360"/>
      <c r="L74" s="353"/>
      <c r="M74" s="361"/>
      <c r="N74" s="362"/>
      <c r="O74" s="362"/>
      <c r="P74" s="362"/>
      <c r="Q74" s="362"/>
      <c r="R74" s="353"/>
      <c r="S74" s="363"/>
      <c r="T74" s="362"/>
      <c r="U74" s="362"/>
      <c r="V74" s="362"/>
      <c r="W74" s="362"/>
      <c r="X74" s="353"/>
    </row>
    <row r="75" spans="2:24" s="93" customFormat="1" x14ac:dyDescent="0.35">
      <c r="B75" s="299"/>
      <c r="C75" s="265"/>
      <c r="D75" s="220"/>
      <c r="E75" s="220"/>
      <c r="F75" s="220"/>
      <c r="G75" s="262"/>
      <c r="H75" s="265"/>
      <c r="I75" s="220"/>
      <c r="J75" s="220"/>
      <c r="K75" s="220"/>
      <c r="L75" s="262"/>
      <c r="M75" s="288"/>
      <c r="N75" s="235"/>
      <c r="O75" s="235"/>
      <c r="P75" s="235"/>
      <c r="Q75" s="235"/>
      <c r="R75" s="262"/>
      <c r="S75" s="236"/>
      <c r="T75" s="235"/>
      <c r="U75" s="235"/>
      <c r="V75" s="235"/>
      <c r="W75" s="226"/>
      <c r="X75" s="92"/>
    </row>
    <row r="76" spans="2:24" s="93" customFormat="1" x14ac:dyDescent="0.35">
      <c r="B76" s="299"/>
      <c r="C76" s="265"/>
      <c r="D76" s="220"/>
      <c r="E76" s="220"/>
      <c r="F76" s="220"/>
      <c r="G76" s="262"/>
      <c r="H76" s="265"/>
      <c r="I76" s="220"/>
      <c r="J76" s="220"/>
      <c r="K76" s="220"/>
      <c r="L76" s="262"/>
      <c r="M76" s="288"/>
      <c r="N76" s="235"/>
      <c r="O76" s="235"/>
      <c r="P76" s="235"/>
      <c r="Q76" s="235"/>
      <c r="R76" s="262"/>
      <c r="S76" s="236"/>
      <c r="T76" s="235"/>
      <c r="U76" s="235"/>
      <c r="V76" s="235"/>
      <c r="W76" s="226"/>
      <c r="X76" s="92"/>
    </row>
    <row r="77" spans="2:24" s="93" customFormat="1" x14ac:dyDescent="0.35">
      <c r="B77" s="300"/>
      <c r="C77" s="256"/>
      <c r="D77" s="220"/>
      <c r="E77" s="220"/>
      <c r="F77" s="220"/>
      <c r="G77" s="262"/>
      <c r="H77" s="256"/>
      <c r="I77" s="220"/>
      <c r="J77" s="220"/>
      <c r="K77" s="220"/>
      <c r="L77" s="262"/>
      <c r="M77" s="288"/>
      <c r="N77" s="235"/>
      <c r="O77" s="235"/>
      <c r="P77" s="235"/>
      <c r="Q77" s="235"/>
      <c r="R77" s="262"/>
      <c r="S77" s="237"/>
      <c r="T77" s="235"/>
      <c r="U77" s="235"/>
      <c r="V77" s="235"/>
      <c r="W77" s="227"/>
      <c r="X77" s="215"/>
    </row>
    <row r="78" spans="2:24" s="90" customFormat="1" x14ac:dyDescent="0.35">
      <c r="B78" s="295"/>
      <c r="C78" s="266"/>
      <c r="D78" s="147"/>
      <c r="E78" s="147"/>
      <c r="F78" s="147"/>
      <c r="G78" s="262"/>
      <c r="H78" s="276"/>
      <c r="I78" s="147"/>
      <c r="J78" s="147"/>
      <c r="K78" s="147"/>
      <c r="L78" s="262"/>
      <c r="M78" s="285"/>
      <c r="N78" s="233"/>
      <c r="O78" s="233"/>
      <c r="P78" s="233"/>
      <c r="Q78" s="233"/>
      <c r="R78" s="262"/>
      <c r="S78" s="241"/>
      <c r="T78" s="233"/>
      <c r="U78" s="233"/>
      <c r="V78" s="233"/>
      <c r="W78" s="225"/>
      <c r="X78" s="91"/>
    </row>
    <row r="79" spans="2:24" s="88" customFormat="1" x14ac:dyDescent="0.35">
      <c r="B79" s="296" t="s">
        <v>62</v>
      </c>
      <c r="C79" s="257">
        <f>SUM(C68:C78)</f>
        <v>8607.3509999999987</v>
      </c>
      <c r="D79" s="217">
        <f>SUM(D68:D78)</f>
        <v>31765.64</v>
      </c>
      <c r="E79" s="217">
        <f>SUM(E68:E78)</f>
        <v>31765.64</v>
      </c>
      <c r="F79" s="217">
        <f>SUM(F68:F78)</f>
        <v>43129.46</v>
      </c>
      <c r="G79" s="258">
        <f t="shared" si="1"/>
        <v>0.19957010822764762</v>
      </c>
      <c r="H79" s="257">
        <f>SUM(H68:H78)</f>
        <v>238490.99317406144</v>
      </c>
      <c r="I79" s="217">
        <f>SUM(I68:I78)</f>
        <v>1733725.08</v>
      </c>
      <c r="J79" s="217">
        <f>SUM(J68:J78)</f>
        <v>1718091.23</v>
      </c>
      <c r="K79" s="217">
        <f>SUM(K68:K78)</f>
        <v>915864.21160409553</v>
      </c>
      <c r="L79" s="258">
        <f t="shared" ref="L79" si="49">IF(K79=0,"NA",H79/K79)</f>
        <v>0.26039994810623185</v>
      </c>
      <c r="M79" s="287">
        <f t="shared" si="7"/>
        <v>2637945.83</v>
      </c>
      <c r="N79" s="230">
        <f>SUM(N68:N78)</f>
        <v>1656389.6</v>
      </c>
      <c r="O79" s="230">
        <f>SUM(O68:O78)</f>
        <v>981556.2300000001</v>
      </c>
      <c r="P79" s="230">
        <f>SUM(P68:P78)</f>
        <v>8497884</v>
      </c>
      <c r="Q79" s="230">
        <f>SUM(Q68:Q78)</f>
        <v>11488383.719999999</v>
      </c>
      <c r="R79" s="258">
        <f t="shared" si="8"/>
        <v>0.22961853419011671</v>
      </c>
      <c r="S79" s="243">
        <f t="shared" si="3"/>
        <v>491293.85</v>
      </c>
      <c r="T79" s="230">
        <f>SUM(T68:T78)</f>
        <v>383663.45</v>
      </c>
      <c r="U79" s="230">
        <f>SUM(U68:U78)</f>
        <v>107630.39999999999</v>
      </c>
      <c r="V79" s="230">
        <f>SUM(V68:V78)</f>
        <v>5536652.0200000005</v>
      </c>
      <c r="W79" s="228">
        <f>SUM(W68:W78)</f>
        <v>1880049.22</v>
      </c>
      <c r="X79" s="108">
        <f t="shared" si="9"/>
        <v>0.26131967438597165</v>
      </c>
    </row>
    <row r="80" spans="2:24" s="88" customFormat="1" x14ac:dyDescent="0.35">
      <c r="B80" s="301" t="s">
        <v>63</v>
      </c>
      <c r="C80" s="364">
        <v>17891.493000000002</v>
      </c>
      <c r="D80" s="365">
        <v>29744</v>
      </c>
      <c r="E80" s="365">
        <v>29744</v>
      </c>
      <c r="F80" s="364">
        <v>29115.808999999997</v>
      </c>
      <c r="G80" s="13">
        <v>0.61449410524708425</v>
      </c>
      <c r="H80" s="364">
        <v>-610631.16040955647</v>
      </c>
      <c r="I80" s="365">
        <v>-1015147</v>
      </c>
      <c r="J80" s="365">
        <v>-1015147</v>
      </c>
      <c r="K80" s="364">
        <v>-993713.61774744024</v>
      </c>
      <c r="L80" s="13">
        <v>0.61449410524708437</v>
      </c>
      <c r="M80" s="289">
        <v>0</v>
      </c>
      <c r="N80" s="15"/>
      <c r="O80" s="15"/>
      <c r="P80" s="15"/>
      <c r="Q80" s="15"/>
      <c r="R80" s="13" t="s">
        <v>122</v>
      </c>
      <c r="S80" s="245">
        <v>0</v>
      </c>
      <c r="T80" s="15"/>
      <c r="U80" s="15"/>
      <c r="V80" s="15"/>
      <c r="W80" s="15"/>
      <c r="X80" s="13" t="s">
        <v>122</v>
      </c>
    </row>
    <row r="81" spans="2:24" s="88" customFormat="1" x14ac:dyDescent="0.35">
      <c r="B81" s="301" t="s">
        <v>64</v>
      </c>
      <c r="C81" s="257">
        <v>7701</v>
      </c>
      <c r="D81" s="217">
        <v>30000</v>
      </c>
      <c r="E81" s="217">
        <v>30000</v>
      </c>
      <c r="F81" s="217">
        <v>30000</v>
      </c>
      <c r="G81" s="258">
        <f t="shared" si="1"/>
        <v>0.25669999999999998</v>
      </c>
      <c r="H81" s="257">
        <v>0</v>
      </c>
      <c r="I81" s="217">
        <v>0</v>
      </c>
      <c r="J81" s="217">
        <v>0</v>
      </c>
      <c r="K81" s="217">
        <v>0</v>
      </c>
      <c r="L81" s="258" t="str">
        <f t="shared" si="2"/>
        <v>NA</v>
      </c>
      <c r="M81" s="290">
        <f t="shared" si="7"/>
        <v>0</v>
      </c>
      <c r="N81" s="14"/>
      <c r="O81" s="14"/>
      <c r="P81" s="14"/>
      <c r="Q81" s="14"/>
      <c r="R81" s="11" t="str">
        <f t="shared" si="8"/>
        <v>NA</v>
      </c>
      <c r="S81" s="246">
        <f t="shared" si="3"/>
        <v>0</v>
      </c>
      <c r="T81" s="14"/>
      <c r="U81" s="14"/>
      <c r="V81" s="14"/>
      <c r="W81" s="14"/>
      <c r="X81" s="11" t="str">
        <f t="shared" si="9"/>
        <v>NA</v>
      </c>
    </row>
    <row r="82" spans="2:24" s="88" customFormat="1" ht="38.5" customHeight="1" thickBot="1" x14ac:dyDescent="0.4">
      <c r="B82" s="302" t="s">
        <v>65</v>
      </c>
      <c r="C82" s="267">
        <f>SUM(C32,C47,C66,C80,C81)</f>
        <v>75248</v>
      </c>
      <c r="D82" s="268">
        <f>SUM(D32,D47,D66,D80,D81)</f>
        <v>297488.65999999997</v>
      </c>
      <c r="E82" s="268">
        <f>SUM(E32,E47,E66,E80,E81)</f>
        <v>297488.65999999997</v>
      </c>
      <c r="F82" s="268">
        <f>SUM(F32,F47,F66,F80,F81)</f>
        <v>300070</v>
      </c>
      <c r="G82" s="12">
        <f t="shared" si="1"/>
        <v>0.25076815409737729</v>
      </c>
      <c r="H82" s="267">
        <f>SUM(H32,H47,H66,H80,H81)</f>
        <v>909605</v>
      </c>
      <c r="I82" s="268">
        <f>SUM(I32,I47,I66,I80,I81)</f>
        <v>3183970.34</v>
      </c>
      <c r="J82" s="268">
        <f>SUM(J32,J47,J66,J80,J81)</f>
        <v>3181077.72566</v>
      </c>
      <c r="K82" s="268">
        <f>SUM(K32,K47,K66,K80,K81)</f>
        <v>3255447</v>
      </c>
      <c r="L82" s="12">
        <f t="shared" si="2"/>
        <v>0.27941017009338504</v>
      </c>
      <c r="M82" s="291">
        <f>SUM(M32,M47,M66,M80,M81)</f>
        <v>23980874.210000001</v>
      </c>
      <c r="N82" s="292">
        <f>SUM(N32,N47,N66,N80,N81)</f>
        <v>13539343.99</v>
      </c>
      <c r="O82" s="292">
        <f>SUM(O32,O47,O66,O80,O81)</f>
        <v>10441530.220000001</v>
      </c>
      <c r="P82" s="292">
        <f>SUM(P32,P47,P66,P80,P81)</f>
        <v>107958568</v>
      </c>
      <c r="Q82" s="292">
        <f>SUM(Q32,Q47,Q66,Q80,Q81)</f>
        <v>107675352.78999999</v>
      </c>
      <c r="R82" s="12">
        <f t="shared" si="8"/>
        <v>0.22271461006280677</v>
      </c>
      <c r="S82" s="247">
        <f>SUM(S32,S47,S66,S80,S81)</f>
        <v>5030452.16</v>
      </c>
      <c r="T82" s="247">
        <f>SUM(T32,T47,T66,T80,T81)</f>
        <v>3549566.1999999997</v>
      </c>
      <c r="U82" s="247">
        <f>SUM(U32,U47,U66,U80,U81)</f>
        <v>1480885.96</v>
      </c>
      <c r="V82" s="247">
        <f>SUM(V32,V47,V66,V80,V81)</f>
        <v>16460239.510000002</v>
      </c>
      <c r="W82" s="247">
        <f>SUM(W32,W47,W66,W80,W81)</f>
        <v>16438472.869999999</v>
      </c>
      <c r="X82" s="12">
        <f t="shared" si="9"/>
        <v>0.30601700047092029</v>
      </c>
    </row>
    <row r="83" spans="2:24" ht="18" customHeight="1" x14ac:dyDescent="0.35">
      <c r="B83" s="94"/>
      <c r="C83" s="95"/>
      <c r="D83" s="96"/>
      <c r="E83" s="97"/>
      <c r="F83" s="97"/>
      <c r="G83" s="98"/>
      <c r="H83" s="250"/>
      <c r="I83" s="250"/>
      <c r="J83" s="98"/>
      <c r="K83" s="98"/>
      <c r="L83" s="98"/>
      <c r="M83" s="98"/>
      <c r="N83" s="98"/>
      <c r="O83" s="200"/>
      <c r="P83" s="98"/>
      <c r="Q83" s="98"/>
      <c r="R83" s="98"/>
      <c r="S83" s="99"/>
      <c r="T83" s="99"/>
      <c r="U83" s="99"/>
      <c r="V83" s="99"/>
      <c r="W83" s="99"/>
      <c r="X83" s="98"/>
    </row>
    <row r="84" spans="2:24" x14ac:dyDescent="0.35">
      <c r="B84" s="95"/>
      <c r="C84" s="95"/>
      <c r="D84" s="100"/>
      <c r="E84" s="100"/>
      <c r="F84" s="100"/>
      <c r="G84" s="98"/>
      <c r="H84" s="250"/>
      <c r="I84" s="221"/>
      <c r="J84" s="98"/>
      <c r="K84" s="98"/>
      <c r="L84" s="98"/>
      <c r="M84" s="98"/>
      <c r="N84" s="98"/>
      <c r="O84" s="98"/>
      <c r="P84" s="98"/>
      <c r="Q84" s="98"/>
      <c r="R84" s="98"/>
      <c r="S84" s="99"/>
      <c r="T84" s="99"/>
      <c r="U84" s="99"/>
      <c r="V84" s="99"/>
      <c r="W84" s="99"/>
      <c r="X84" s="98"/>
    </row>
    <row r="85" spans="2:24" x14ac:dyDescent="0.35">
      <c r="B85" s="101" t="s">
        <v>66</v>
      </c>
      <c r="C85" s="101"/>
      <c r="W85" s="102"/>
    </row>
    <row r="86" spans="2:24" x14ac:dyDescent="0.35">
      <c r="B86" s="424" t="s">
        <v>67</v>
      </c>
      <c r="C86" s="425"/>
      <c r="D86" s="425"/>
      <c r="E86" s="425"/>
      <c r="F86" s="425"/>
      <c r="G86" s="425"/>
      <c r="H86" s="425"/>
      <c r="I86" s="425"/>
      <c r="J86" s="425"/>
      <c r="K86" s="425"/>
      <c r="L86" s="425"/>
      <c r="M86" s="425"/>
      <c r="N86" s="425"/>
      <c r="O86" s="425"/>
      <c r="P86" s="425"/>
      <c r="Q86" s="425"/>
      <c r="R86" s="425"/>
      <c r="S86" s="425"/>
      <c r="T86" s="425"/>
      <c r="U86" s="425"/>
      <c r="V86" s="425"/>
      <c r="W86" s="425"/>
      <c r="X86" s="426"/>
    </row>
    <row r="87" spans="2:24" ht="17.5" customHeight="1" x14ac:dyDescent="0.35">
      <c r="B87" s="427" t="s">
        <v>68</v>
      </c>
      <c r="C87" s="428"/>
      <c r="D87" s="428"/>
      <c r="E87" s="428"/>
      <c r="F87" s="428"/>
      <c r="G87" s="428"/>
      <c r="H87" s="428"/>
      <c r="I87" s="428"/>
      <c r="J87" s="428"/>
      <c r="K87" s="428"/>
      <c r="L87" s="428"/>
      <c r="M87" s="428"/>
      <c r="N87" s="428"/>
      <c r="O87" s="428"/>
      <c r="P87" s="428"/>
      <c r="Q87" s="428"/>
      <c r="R87" s="428"/>
      <c r="S87" s="428"/>
      <c r="T87" s="428"/>
      <c r="U87" s="428"/>
      <c r="V87" s="428"/>
      <c r="W87" s="428"/>
      <c r="X87" s="429"/>
    </row>
    <row r="88" spans="2:24" x14ac:dyDescent="0.35">
      <c r="B88" s="418" t="s">
        <v>69</v>
      </c>
      <c r="C88" s="419"/>
      <c r="D88" s="419"/>
      <c r="E88" s="419"/>
      <c r="F88" s="419"/>
      <c r="G88" s="419"/>
      <c r="H88" s="419"/>
      <c r="I88" s="419"/>
      <c r="J88" s="419"/>
      <c r="K88" s="419"/>
      <c r="L88" s="419"/>
      <c r="M88" s="419"/>
      <c r="N88" s="419"/>
      <c r="O88" s="419"/>
      <c r="P88" s="419"/>
      <c r="Q88" s="419"/>
      <c r="R88" s="419"/>
      <c r="S88" s="419"/>
      <c r="T88" s="419"/>
      <c r="U88" s="419"/>
      <c r="V88" s="419"/>
      <c r="W88" s="419"/>
      <c r="X88" s="420"/>
    </row>
    <row r="89" spans="2:24" x14ac:dyDescent="0.35">
      <c r="B89" s="421"/>
      <c r="C89" s="422"/>
      <c r="D89" s="422"/>
      <c r="E89" s="422"/>
      <c r="F89" s="422"/>
      <c r="G89" s="422"/>
      <c r="H89" s="422"/>
      <c r="I89" s="422"/>
      <c r="J89" s="422"/>
      <c r="K89" s="422"/>
      <c r="L89" s="422"/>
      <c r="M89" s="422"/>
      <c r="N89" s="422"/>
      <c r="O89" s="422"/>
      <c r="P89" s="422"/>
      <c r="Q89" s="422"/>
      <c r="R89" s="422"/>
      <c r="S89" s="422"/>
      <c r="T89" s="422"/>
      <c r="U89" s="422"/>
      <c r="V89" s="422"/>
      <c r="W89" s="422"/>
      <c r="X89" s="423"/>
    </row>
    <row r="90" spans="2:24" x14ac:dyDescent="0.35">
      <c r="B90" s="410" t="s">
        <v>70</v>
      </c>
      <c r="C90" s="410"/>
      <c r="D90" s="410"/>
      <c r="E90" s="410"/>
      <c r="F90" s="410"/>
      <c r="G90" s="410"/>
      <c r="H90" s="410"/>
      <c r="I90" s="410"/>
      <c r="J90" s="410"/>
      <c r="K90" s="410"/>
      <c r="L90" s="410"/>
      <c r="M90" s="410"/>
      <c r="N90" s="410"/>
      <c r="O90" s="410"/>
      <c r="P90" s="410"/>
      <c r="Q90" s="410"/>
      <c r="R90" s="410"/>
      <c r="S90" s="410"/>
      <c r="T90" s="410"/>
      <c r="U90" s="410"/>
      <c r="V90" s="410"/>
      <c r="W90" s="410"/>
      <c r="X90" s="410"/>
    </row>
  </sheetData>
  <mergeCells count="10">
    <mergeCell ref="B90:X90"/>
    <mergeCell ref="B5:X6"/>
    <mergeCell ref="B8:X16"/>
    <mergeCell ref="B88:X89"/>
    <mergeCell ref="B86:X86"/>
    <mergeCell ref="B87:X87"/>
    <mergeCell ref="C20:G20"/>
    <mergeCell ref="H20:L20"/>
    <mergeCell ref="M20:R20"/>
    <mergeCell ref="S20:X20"/>
  </mergeCells>
  <printOptions headings="1"/>
  <pageMargins left="0.7" right="0.7" top="0.75" bottom="0.75" header="0.3" footer="0.3"/>
  <pageSetup scale="44" orientation="portrait" r:id="rId1"/>
  <ignoredErrors>
    <ignoredError sqref="G66 G47 G32:G33 G82 G79" formula="1"/>
    <ignoredError sqref="S23:S29 M23:M29 M50:M60 M34:M44 S34:S44 M46:M49 S56:S59 S50:S52 S49 S53:S55 S60 L82"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DF7C3-FC25-44B4-B2AF-04B0639ACF7B}">
  <dimension ref="A1:B21"/>
  <sheetViews>
    <sheetView workbookViewId="0"/>
  </sheetViews>
  <sheetFormatPr defaultColWidth="9.1796875" defaultRowHeight="14.5" x14ac:dyDescent="0.35"/>
  <cols>
    <col min="1" max="1" width="4.7265625" style="45" customWidth="1"/>
    <col min="2" max="2" width="171.81640625" style="45" customWidth="1"/>
    <col min="3" max="16384" width="9.1796875" style="45"/>
  </cols>
  <sheetData>
    <row r="1" spans="1:2" x14ac:dyDescent="0.35">
      <c r="A1" s="45" t="s">
        <v>272</v>
      </c>
      <c r="B1" s="46" t="s">
        <v>273</v>
      </c>
    </row>
    <row r="2" spans="1:2" x14ac:dyDescent="0.35">
      <c r="B2" s="46" t="s">
        <v>328</v>
      </c>
    </row>
    <row r="3" spans="1:2" x14ac:dyDescent="0.35">
      <c r="B3" s="46" t="s">
        <v>275</v>
      </c>
    </row>
    <row r="4" spans="1:2" ht="14.15" customHeight="1" x14ac:dyDescent="0.35"/>
    <row r="5" spans="1:2" ht="14.5" customHeight="1" x14ac:dyDescent="0.35">
      <c r="B5" s="338"/>
    </row>
    <row r="6" spans="1:2" x14ac:dyDescent="0.35">
      <c r="B6" s="337" t="s">
        <v>277</v>
      </c>
    </row>
    <row r="7" spans="1:2" x14ac:dyDescent="0.35">
      <c r="B7" s="332" t="s">
        <v>278</v>
      </c>
    </row>
    <row r="8" spans="1:2" x14ac:dyDescent="0.35">
      <c r="B8" s="334" t="s">
        <v>279</v>
      </c>
    </row>
    <row r="9" spans="1:2" x14ac:dyDescent="0.35">
      <c r="B9" s="336" t="s">
        <v>280</v>
      </c>
    </row>
    <row r="10" spans="1:2" ht="28" x14ac:dyDescent="0.35">
      <c r="B10" s="335" t="s">
        <v>329</v>
      </c>
    </row>
    <row r="11" spans="1:2" x14ac:dyDescent="0.35">
      <c r="B11" s="334" t="s">
        <v>330</v>
      </c>
    </row>
    <row r="12" spans="1:2" ht="41.5" x14ac:dyDescent="0.35">
      <c r="B12" s="333" t="s">
        <v>331</v>
      </c>
    </row>
    <row r="13" spans="1:2" x14ac:dyDescent="0.35">
      <c r="B13" s="332" t="s">
        <v>285</v>
      </c>
    </row>
    <row r="14" spans="1:2" x14ac:dyDescent="0.35">
      <c r="B14" s="332" t="s">
        <v>286</v>
      </c>
    </row>
    <row r="15" spans="1:2" x14ac:dyDescent="0.35">
      <c r="B15" s="331"/>
    </row>
    <row r="17" spans="2:2" ht="18.5" x14ac:dyDescent="0.35">
      <c r="B17" s="339" t="s">
        <v>332</v>
      </c>
    </row>
    <row r="18" spans="2:2" ht="50.15" customHeight="1" x14ac:dyDescent="0.35">
      <c r="B18" s="330" t="s">
        <v>333</v>
      </c>
    </row>
    <row r="19" spans="2:2" ht="27" customHeight="1" x14ac:dyDescent="0.35">
      <c r="B19" s="340" t="s">
        <v>334</v>
      </c>
    </row>
    <row r="21" spans="2:2" ht="18.5" x14ac:dyDescent="0.35">
      <c r="B21" s="339" t="s">
        <v>335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30"/>
  <sheetViews>
    <sheetView zoomScaleNormal="100" workbookViewId="0"/>
  </sheetViews>
  <sheetFormatPr defaultColWidth="9.1796875" defaultRowHeight="14.5" x14ac:dyDescent="0.35"/>
  <cols>
    <col min="1" max="1" width="3.453125" style="45" customWidth="1"/>
    <col min="2" max="2" width="87" style="109" bestFit="1" customWidth="1"/>
    <col min="3" max="3" width="19.26953125" style="109" customWidth="1"/>
    <col min="4" max="7" width="19.26953125" style="45" customWidth="1"/>
    <col min="8" max="8" width="9.1796875" style="45"/>
    <col min="9" max="9" width="10.26953125" style="45" bestFit="1" customWidth="1"/>
    <col min="10" max="16384" width="9.1796875" style="45"/>
  </cols>
  <sheetData>
    <row r="1" spans="2:5" x14ac:dyDescent="0.35">
      <c r="B1" s="46" t="s">
        <v>0</v>
      </c>
    </row>
    <row r="2" spans="2:5" x14ac:dyDescent="0.35">
      <c r="B2" s="46" t="s">
        <v>71</v>
      </c>
    </row>
    <row r="3" spans="2:5" x14ac:dyDescent="0.35">
      <c r="B3" s="46" t="s">
        <v>72</v>
      </c>
    </row>
    <row r="4" spans="2:5" x14ac:dyDescent="0.35">
      <c r="B4" s="46"/>
    </row>
    <row r="5" spans="2:5" ht="37.5" customHeight="1" x14ac:dyDescent="0.35">
      <c r="B5" s="433" t="s">
        <v>73</v>
      </c>
      <c r="C5" s="434"/>
      <c r="D5" s="434"/>
      <c r="E5" s="435"/>
    </row>
    <row r="6" spans="2:5" ht="37.5" customHeight="1" x14ac:dyDescent="0.35">
      <c r="B6" s="436"/>
      <c r="C6" s="437"/>
      <c r="D6" s="437"/>
      <c r="E6" s="438"/>
    </row>
    <row r="7" spans="2:5" ht="18.75" customHeight="1" x14ac:dyDescent="0.35">
      <c r="B7" s="439"/>
      <c r="C7" s="440"/>
      <c r="D7" s="440"/>
      <c r="E7" s="441"/>
    </row>
    <row r="9" spans="2:5" x14ac:dyDescent="0.35">
      <c r="B9" s="46" t="s">
        <v>74</v>
      </c>
    </row>
    <row r="10" spans="2:5" x14ac:dyDescent="0.35">
      <c r="B10" s="46"/>
    </row>
    <row r="11" spans="2:5" ht="37.5" x14ac:dyDescent="0.35">
      <c r="B11" s="16" t="s">
        <v>75</v>
      </c>
      <c r="C11" s="17" t="s">
        <v>76</v>
      </c>
      <c r="D11" s="17" t="s">
        <v>77</v>
      </c>
      <c r="E11" s="17" t="s">
        <v>78</v>
      </c>
    </row>
    <row r="12" spans="2:5" s="48" customFormat="1" ht="21" customHeight="1" x14ac:dyDescent="0.35">
      <c r="B12" s="123" t="s">
        <v>79</v>
      </c>
      <c r="C12" s="124"/>
      <c r="D12" s="124"/>
      <c r="E12" s="125"/>
    </row>
    <row r="13" spans="2:5" x14ac:dyDescent="0.35">
      <c r="B13" s="110" t="s">
        <v>80</v>
      </c>
      <c r="C13" s="366">
        <f>'1- Ex Ante Results'!M33</f>
        <v>10399228.800000001</v>
      </c>
      <c r="D13" s="366">
        <f>'1- Ex Ante Results'!S33</f>
        <v>874546.10999999987</v>
      </c>
      <c r="E13" s="111">
        <f>SUM(C13:D13)</f>
        <v>11273774.91</v>
      </c>
    </row>
    <row r="14" spans="2:5" x14ac:dyDescent="0.35">
      <c r="B14" s="112" t="s">
        <v>81</v>
      </c>
      <c r="C14" s="367">
        <f>'1- Ex Ante Results'!M34</f>
        <v>2498717.5099999998</v>
      </c>
      <c r="D14" s="367">
        <f>'1- Ex Ante Results'!S34</f>
        <v>305089.27</v>
      </c>
      <c r="E14" s="111">
        <f t="shared" ref="E14:E17" si="0">SUM(C14:D14)</f>
        <v>2803806.78</v>
      </c>
    </row>
    <row r="15" spans="2:5" x14ac:dyDescent="0.35">
      <c r="B15" s="112" t="s">
        <v>33</v>
      </c>
      <c r="C15" s="367">
        <f>'1- Ex Ante Results'!M47</f>
        <v>2282051.7400000002</v>
      </c>
      <c r="D15" s="367">
        <f>'1- Ex Ante Results'!S47</f>
        <v>401481.13</v>
      </c>
      <c r="E15" s="111">
        <f t="shared" si="0"/>
        <v>2683532.87</v>
      </c>
    </row>
    <row r="16" spans="2:5" x14ac:dyDescent="0.35">
      <c r="B16" s="112" t="s">
        <v>44</v>
      </c>
      <c r="C16" s="367">
        <f>'1- Ex Ante Results'!M66</f>
        <v>8800876.1600000001</v>
      </c>
      <c r="D16" s="367">
        <f>'1- Ex Ante Results'!S66</f>
        <v>3449335.65</v>
      </c>
      <c r="E16" s="111">
        <f t="shared" si="0"/>
        <v>12250211.810000001</v>
      </c>
    </row>
    <row r="17" spans="2:7" x14ac:dyDescent="0.35">
      <c r="B17" s="113" t="s">
        <v>82</v>
      </c>
      <c r="C17" s="114">
        <f>'1- Ex Ante Results'!M79</f>
        <v>2637945.83</v>
      </c>
      <c r="D17" s="114">
        <f>'1- Ex Ante Results'!S79</f>
        <v>491293.85</v>
      </c>
      <c r="E17" s="115">
        <f t="shared" si="0"/>
        <v>3129239.68</v>
      </c>
    </row>
    <row r="18" spans="2:7" s="48" customFormat="1" ht="21.65" customHeight="1" x14ac:dyDescent="0.35">
      <c r="B18" s="18" t="s">
        <v>83</v>
      </c>
      <c r="C18" s="19">
        <f>SUM(C13:C16)</f>
        <v>23980874.210000001</v>
      </c>
      <c r="D18" s="19">
        <f t="shared" ref="D18:E18" si="1">SUM(D13:D16)</f>
        <v>5030452.16</v>
      </c>
      <c r="E18" s="19">
        <f t="shared" si="1"/>
        <v>29011326.369999997</v>
      </c>
    </row>
    <row r="19" spans="2:7" s="48" customFormat="1" ht="29.5" customHeight="1" x14ac:dyDescent="0.35">
      <c r="B19" s="126" t="s">
        <v>84</v>
      </c>
      <c r="C19" s="127"/>
      <c r="D19" s="127"/>
      <c r="E19" s="128"/>
    </row>
    <row r="20" spans="2:7" x14ac:dyDescent="0.35">
      <c r="B20" s="116" t="s">
        <v>85</v>
      </c>
      <c r="C20" s="368">
        <v>599105.31999999995</v>
      </c>
      <c r="D20" s="368">
        <v>103934.5</v>
      </c>
      <c r="E20" s="117">
        <f>SUM(C20:D20)</f>
        <v>703039.82</v>
      </c>
    </row>
    <row r="21" spans="2:7" x14ac:dyDescent="0.35">
      <c r="B21" s="112" t="s">
        <v>86</v>
      </c>
      <c r="C21" s="369">
        <v>78739.06</v>
      </c>
      <c r="D21" s="369">
        <v>12030.89</v>
      </c>
      <c r="E21" s="117">
        <f t="shared" ref="E21:E23" si="2">SUM(C21:D21)</f>
        <v>90769.95</v>
      </c>
    </row>
    <row r="22" spans="2:7" x14ac:dyDescent="0.35">
      <c r="B22" s="118" t="s">
        <v>87</v>
      </c>
      <c r="C22" s="369">
        <v>321724.09000000003</v>
      </c>
      <c r="D22" s="369">
        <v>49595.96</v>
      </c>
      <c r="E22" s="117">
        <f t="shared" si="2"/>
        <v>371320.05000000005</v>
      </c>
    </row>
    <row r="23" spans="2:7" x14ac:dyDescent="0.35">
      <c r="B23" s="112" t="s">
        <v>88</v>
      </c>
      <c r="C23" s="369">
        <v>1661434.21</v>
      </c>
      <c r="D23" s="369">
        <v>206912.18</v>
      </c>
      <c r="E23" s="117">
        <f t="shared" si="2"/>
        <v>1868346.39</v>
      </c>
    </row>
    <row r="24" spans="2:7" s="48" customFormat="1" ht="23.5" customHeight="1" x14ac:dyDescent="0.35">
      <c r="B24" s="6" t="s">
        <v>89</v>
      </c>
      <c r="C24" s="20">
        <f>SUM(C20:C23)</f>
        <v>2661002.6799999997</v>
      </c>
      <c r="D24" s="20">
        <f t="shared" ref="D24:E24" si="3">SUM(D20:D23)</f>
        <v>372473.53</v>
      </c>
      <c r="E24" s="20">
        <f t="shared" si="3"/>
        <v>3033476.21</v>
      </c>
    </row>
    <row r="25" spans="2:7" s="48" customFormat="1" ht="32.5" customHeight="1" x14ac:dyDescent="0.35">
      <c r="B25" s="129" t="s">
        <v>90</v>
      </c>
      <c r="C25" s="130">
        <f>SUM(C18,C24)</f>
        <v>26641876.890000001</v>
      </c>
      <c r="D25" s="130">
        <f t="shared" ref="D25:E25" si="4">SUM(D18,D24)</f>
        <v>5402925.6900000004</v>
      </c>
      <c r="E25" s="130">
        <f t="shared" si="4"/>
        <v>32044802.579999998</v>
      </c>
    </row>
    <row r="26" spans="2:7" x14ac:dyDescent="0.35">
      <c r="B26" s="120"/>
      <c r="C26" s="120"/>
    </row>
    <row r="27" spans="2:7" s="48" customFormat="1" ht="17.5" customHeight="1" x14ac:dyDescent="0.35">
      <c r="B27" s="121"/>
      <c r="C27" s="121"/>
    </row>
    <row r="28" spans="2:7" s="48" customFormat="1" ht="20.149999999999999" customHeight="1" x14ac:dyDescent="0.35">
      <c r="B28" s="44" t="s">
        <v>91</v>
      </c>
      <c r="C28" s="121"/>
    </row>
    <row r="29" spans="2:7" ht="42" customHeight="1" x14ac:dyDescent="0.35">
      <c r="B29" s="5" t="s">
        <v>92</v>
      </c>
      <c r="C29" s="17" t="s">
        <v>76</v>
      </c>
      <c r="D29" s="17" t="s">
        <v>77</v>
      </c>
      <c r="E29" s="17" t="s">
        <v>78</v>
      </c>
      <c r="F29" s="5" t="s">
        <v>93</v>
      </c>
      <c r="G29" s="4" t="s">
        <v>21</v>
      </c>
    </row>
    <row r="30" spans="2:7" s="48" customFormat="1" ht="35.5" customHeight="1" x14ac:dyDescent="0.35">
      <c r="B30" s="119" t="s">
        <v>90</v>
      </c>
      <c r="C30" s="122">
        <f>C25</f>
        <v>26641876.890000001</v>
      </c>
      <c r="D30" s="122">
        <f t="shared" ref="D30:E30" si="5">D25</f>
        <v>5402925.6900000004</v>
      </c>
      <c r="E30" s="122">
        <f t="shared" si="5"/>
        <v>32044802.579999998</v>
      </c>
      <c r="F30" s="231">
        <v>145304249.99000001</v>
      </c>
      <c r="G30" s="198">
        <f>E30/F30</f>
        <v>0.22053589335621879</v>
      </c>
    </row>
  </sheetData>
  <mergeCells count="1">
    <mergeCell ref="B5:E7"/>
  </mergeCells>
  <printOptions headings="1"/>
  <pageMargins left="0.7" right="0.7" top="0.75" bottom="0.75" header="0.3" footer="0.3"/>
  <pageSetup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X48"/>
  <sheetViews>
    <sheetView zoomScale="85" zoomScaleNormal="85" workbookViewId="0">
      <pane ySplit="14" topLeftCell="A15" activePane="bottomLeft" state="frozen"/>
      <selection pane="bottomLeft" activeCell="A15" sqref="A15"/>
    </sheetView>
  </sheetViews>
  <sheetFormatPr defaultColWidth="9.1796875" defaultRowHeight="14.5" x14ac:dyDescent="0.35"/>
  <cols>
    <col min="1" max="1" width="3.54296875" style="45" customWidth="1"/>
    <col min="2" max="2" width="18.81640625" style="48" customWidth="1"/>
    <col min="3" max="3" width="22.26953125" style="45" customWidth="1"/>
    <col min="4" max="4" width="24.1796875" style="45" customWidth="1"/>
    <col min="5" max="5" width="18.81640625" style="45" customWidth="1"/>
    <col min="6" max="6" width="18.54296875" style="45" customWidth="1"/>
    <col min="7" max="7" width="19.453125" style="45" customWidth="1"/>
    <col min="8" max="8" width="22" style="45" bestFit="1" customWidth="1"/>
    <col min="9" max="12" width="19.453125" style="45" customWidth="1"/>
    <col min="13" max="13" width="3.453125" style="45" customWidth="1"/>
    <col min="14" max="14" width="31.81640625" style="45" customWidth="1"/>
    <col min="15" max="17" width="16.7265625" style="45" customWidth="1"/>
    <col min="18" max="20" width="19.1796875" style="45" bestFit="1" customWidth="1"/>
    <col min="21" max="23" width="16.7265625" style="45" customWidth="1"/>
    <col min="24" max="24" width="21.1796875" style="45" bestFit="1" customWidth="1"/>
    <col min="25" max="16384" width="9.1796875" style="45"/>
  </cols>
  <sheetData>
    <row r="1" spans="2:24" x14ac:dyDescent="0.35">
      <c r="B1" s="44" t="s">
        <v>0</v>
      </c>
    </row>
    <row r="2" spans="2:24" x14ac:dyDescent="0.35">
      <c r="B2" s="44" t="s">
        <v>94</v>
      </c>
    </row>
    <row r="3" spans="2:24" x14ac:dyDescent="0.35">
      <c r="B3" s="46" t="s">
        <v>72</v>
      </c>
    </row>
    <row r="4" spans="2:24" x14ac:dyDescent="0.35">
      <c r="B4" s="44"/>
    </row>
    <row r="5" spans="2:24" ht="14.5" customHeight="1" x14ac:dyDescent="0.35">
      <c r="B5" s="445" t="s">
        <v>95</v>
      </c>
      <c r="C5" s="445"/>
      <c r="D5" s="445"/>
      <c r="E5" s="445"/>
      <c r="F5" s="445"/>
      <c r="G5" s="445"/>
      <c r="H5" s="47"/>
      <c r="I5" s="47"/>
      <c r="J5" s="47"/>
      <c r="K5" s="47"/>
      <c r="L5" s="47"/>
    </row>
    <row r="6" spans="2:24" x14ac:dyDescent="0.35">
      <c r="B6" s="445"/>
      <c r="C6" s="445"/>
      <c r="D6" s="445"/>
      <c r="E6" s="445"/>
      <c r="F6" s="445"/>
      <c r="G6" s="445"/>
      <c r="H6" s="47"/>
      <c r="I6" s="47"/>
      <c r="J6" s="47"/>
      <c r="K6" s="47"/>
      <c r="L6" s="47"/>
    </row>
    <row r="7" spans="2:24" x14ac:dyDescent="0.35">
      <c r="B7" s="445"/>
      <c r="C7" s="445"/>
      <c r="D7" s="445"/>
      <c r="E7" s="445"/>
      <c r="F7" s="445"/>
      <c r="G7" s="445"/>
      <c r="H7" s="47"/>
      <c r="I7" s="47"/>
      <c r="J7" s="47"/>
      <c r="K7" s="47"/>
      <c r="L7" s="47"/>
    </row>
    <row r="8" spans="2:24" x14ac:dyDescent="0.35">
      <c r="B8" s="445"/>
      <c r="C8" s="445"/>
      <c r="D8" s="445"/>
      <c r="E8" s="445"/>
      <c r="F8" s="445"/>
      <c r="G8" s="445"/>
      <c r="H8" s="47"/>
      <c r="I8" s="47"/>
      <c r="J8" s="47"/>
      <c r="K8" s="47"/>
      <c r="L8" s="47"/>
    </row>
    <row r="9" spans="2:24" x14ac:dyDescent="0.35">
      <c r="B9" s="445"/>
      <c r="C9" s="445"/>
      <c r="D9" s="445"/>
      <c r="E9" s="445"/>
      <c r="F9" s="445"/>
      <c r="G9" s="445"/>
      <c r="H9" s="47"/>
      <c r="I9" s="47"/>
      <c r="J9" s="47"/>
      <c r="K9" s="47"/>
      <c r="L9" s="47"/>
    </row>
    <row r="11" spans="2:24" ht="18" x14ac:dyDescent="0.4">
      <c r="B11" s="49" t="s">
        <v>96</v>
      </c>
      <c r="C11" s="49"/>
      <c r="D11" s="50"/>
      <c r="E11" s="50"/>
      <c r="F11" s="50"/>
      <c r="G11" s="50"/>
      <c r="H11" s="50"/>
      <c r="I11" s="50"/>
      <c r="J11" s="50"/>
      <c r="K11" s="50"/>
      <c r="L11" s="50"/>
      <c r="N11" s="51" t="s">
        <v>97</v>
      </c>
    </row>
    <row r="12" spans="2:24" ht="18.5" thickBot="1" x14ac:dyDescent="0.45">
      <c r="B12" s="49"/>
      <c r="C12" s="49"/>
      <c r="D12" s="50"/>
      <c r="E12" s="50"/>
      <c r="F12" s="50"/>
      <c r="G12" s="50"/>
      <c r="H12" s="50"/>
      <c r="I12" s="50"/>
      <c r="J12" s="50"/>
      <c r="K12" s="50"/>
      <c r="L12" s="50"/>
      <c r="N12" s="51"/>
    </row>
    <row r="13" spans="2:24" ht="33" customHeight="1" thickBot="1" x14ac:dyDescent="0.4">
      <c r="C13" s="450" t="s">
        <v>98</v>
      </c>
      <c r="D13" s="451"/>
      <c r="E13" s="451"/>
      <c r="F13" s="451"/>
      <c r="G13" s="452"/>
      <c r="H13" s="450" t="s">
        <v>99</v>
      </c>
      <c r="I13" s="451"/>
      <c r="J13" s="451"/>
      <c r="K13" s="451"/>
      <c r="L13" s="452"/>
      <c r="N13" s="442" t="s">
        <v>98</v>
      </c>
      <c r="O13" s="443"/>
      <c r="P13" s="443"/>
      <c r="Q13" s="443"/>
      <c r="R13" s="443"/>
      <c r="S13" s="443"/>
      <c r="T13" s="443"/>
      <c r="U13" s="443"/>
      <c r="V13" s="443"/>
      <c r="W13" s="443"/>
      <c r="X13" s="444"/>
    </row>
    <row r="14" spans="2:24" s="48" customFormat="1" ht="42.5" thickBot="1" x14ac:dyDescent="0.4">
      <c r="B14" s="69" t="s">
        <v>100</v>
      </c>
      <c r="C14" s="70" t="s">
        <v>101</v>
      </c>
      <c r="D14" s="71" t="s">
        <v>102</v>
      </c>
      <c r="E14" s="71" t="s">
        <v>103</v>
      </c>
      <c r="F14" s="71" t="s">
        <v>104</v>
      </c>
      <c r="G14" s="72" t="s">
        <v>105</v>
      </c>
      <c r="H14" s="70" t="s">
        <v>101</v>
      </c>
      <c r="I14" s="71" t="s">
        <v>106</v>
      </c>
      <c r="J14" s="71" t="s">
        <v>107</v>
      </c>
      <c r="K14" s="71" t="s">
        <v>108</v>
      </c>
      <c r="L14" s="72" t="s">
        <v>105</v>
      </c>
      <c r="N14" s="82" t="s">
        <v>109</v>
      </c>
      <c r="O14" s="83" t="s">
        <v>110</v>
      </c>
      <c r="P14" s="83" t="s">
        <v>111</v>
      </c>
      <c r="Q14" s="83" t="s">
        <v>112</v>
      </c>
      <c r="R14" s="83" t="s">
        <v>113</v>
      </c>
      <c r="S14" s="83" t="s">
        <v>114</v>
      </c>
      <c r="T14" s="83" t="s">
        <v>115</v>
      </c>
      <c r="U14" s="83" t="s">
        <v>116</v>
      </c>
      <c r="V14" s="83" t="s">
        <v>117</v>
      </c>
      <c r="W14" s="83" t="s">
        <v>118</v>
      </c>
      <c r="X14" s="84" t="s">
        <v>119</v>
      </c>
    </row>
    <row r="15" spans="2:24" ht="33" customHeight="1" x14ac:dyDescent="0.35">
      <c r="B15" s="23" t="s">
        <v>120</v>
      </c>
      <c r="C15" s="28" t="s">
        <v>121</v>
      </c>
      <c r="D15" s="29">
        <v>89955</v>
      </c>
      <c r="E15" s="29">
        <v>55709</v>
      </c>
      <c r="F15" s="29">
        <v>55709</v>
      </c>
      <c r="G15" s="30">
        <f>D15/F15</f>
        <v>1.6147301154212066</v>
      </c>
      <c r="H15" s="41" t="s">
        <v>121</v>
      </c>
      <c r="I15" s="29">
        <v>35193</v>
      </c>
      <c r="J15" s="29"/>
      <c r="K15" s="29">
        <v>0</v>
      </c>
      <c r="L15" s="30" t="s">
        <v>122</v>
      </c>
      <c r="N15" s="79" t="s">
        <v>123</v>
      </c>
      <c r="O15" s="80">
        <v>10283</v>
      </c>
      <c r="P15" s="80">
        <v>20978</v>
      </c>
      <c r="Q15" s="80">
        <v>26536</v>
      </c>
      <c r="R15" s="80">
        <v>37396</v>
      </c>
      <c r="S15" s="80">
        <v>34724</v>
      </c>
      <c r="T15" s="80">
        <v>28336</v>
      </c>
      <c r="U15" s="80">
        <v>33496.606</v>
      </c>
      <c r="V15" s="80">
        <v>18944.617999999999</v>
      </c>
      <c r="W15" s="80">
        <v>40705.535000000003</v>
      </c>
      <c r="X15" s="81">
        <v>15109</v>
      </c>
    </row>
    <row r="16" spans="2:24" s="48" customFormat="1" ht="33" customHeight="1" x14ac:dyDescent="0.35">
      <c r="B16" s="24" t="s">
        <v>124</v>
      </c>
      <c r="C16" s="31" t="s">
        <v>121</v>
      </c>
      <c r="D16" s="32">
        <v>129748</v>
      </c>
      <c r="E16" s="32">
        <v>113186</v>
      </c>
      <c r="F16" s="32">
        <v>113186</v>
      </c>
      <c r="G16" s="33">
        <f t="shared" ref="G16:G31" si="0">D16/F16</f>
        <v>1.1463255172901243</v>
      </c>
      <c r="H16" s="42" t="s">
        <v>121</v>
      </c>
      <c r="I16" s="32">
        <v>1903686</v>
      </c>
      <c r="J16" s="32"/>
      <c r="K16" s="32">
        <v>0</v>
      </c>
      <c r="L16" s="33" t="s">
        <v>122</v>
      </c>
      <c r="N16" s="60" t="s">
        <v>125</v>
      </c>
      <c r="O16" s="62" t="s">
        <v>126</v>
      </c>
      <c r="P16" s="62" t="s">
        <v>126</v>
      </c>
      <c r="Q16" s="62" t="s">
        <v>121</v>
      </c>
      <c r="R16" s="62" t="s">
        <v>121</v>
      </c>
      <c r="S16" s="62" t="s">
        <v>121</v>
      </c>
      <c r="T16" s="62" t="s">
        <v>121</v>
      </c>
      <c r="U16" s="62" t="s">
        <v>121</v>
      </c>
      <c r="V16" s="62" t="s">
        <v>121</v>
      </c>
      <c r="W16" s="62" t="s">
        <v>121</v>
      </c>
      <c r="X16" s="63" t="s">
        <v>121</v>
      </c>
    </row>
    <row r="17" spans="2:24" ht="33" customHeight="1" thickBot="1" x14ac:dyDescent="0.4">
      <c r="B17" s="24" t="s">
        <v>127</v>
      </c>
      <c r="C17" s="31" t="s">
        <v>121</v>
      </c>
      <c r="D17" s="32">
        <v>263374</v>
      </c>
      <c r="E17" s="32">
        <v>181765</v>
      </c>
      <c r="F17" s="32">
        <v>181765</v>
      </c>
      <c r="G17" s="33">
        <f t="shared" si="0"/>
        <v>1.4489808268918658</v>
      </c>
      <c r="H17" s="42" t="s">
        <v>121</v>
      </c>
      <c r="I17" s="32">
        <v>2053110</v>
      </c>
      <c r="J17" s="32"/>
      <c r="K17" s="32">
        <v>0</v>
      </c>
      <c r="L17" s="33" t="s">
        <v>122</v>
      </c>
      <c r="N17" s="64" t="s">
        <v>128</v>
      </c>
      <c r="O17" s="65" t="s">
        <v>129</v>
      </c>
      <c r="P17" s="65" t="s">
        <v>130</v>
      </c>
      <c r="Q17" s="66" t="s">
        <v>131</v>
      </c>
      <c r="R17" s="66" t="s">
        <v>132</v>
      </c>
      <c r="S17" s="66" t="s">
        <v>133</v>
      </c>
      <c r="T17" s="66" t="s">
        <v>134</v>
      </c>
      <c r="U17" s="65" t="s">
        <v>135</v>
      </c>
      <c r="V17" s="67" t="s">
        <v>136</v>
      </c>
      <c r="W17" s="67" t="s">
        <v>136</v>
      </c>
      <c r="X17" s="68"/>
    </row>
    <row r="18" spans="2:24" ht="33" customHeight="1" thickBot="1" x14ac:dyDescent="0.4">
      <c r="B18" s="25" t="s">
        <v>137</v>
      </c>
      <c r="C18" s="34" t="s">
        <v>121</v>
      </c>
      <c r="D18" s="35">
        <f>SUM(D15:D17)</f>
        <v>483077</v>
      </c>
      <c r="E18" s="35">
        <f t="shared" ref="E18:F18" si="1">SUM(E15:E17)</f>
        <v>350660</v>
      </c>
      <c r="F18" s="35">
        <f t="shared" si="1"/>
        <v>350660</v>
      </c>
      <c r="G18" s="36">
        <f t="shared" si="0"/>
        <v>1.3776221981406491</v>
      </c>
      <c r="H18" s="43" t="s">
        <v>121</v>
      </c>
      <c r="I18" s="35">
        <f>SUM(I15:I17)</f>
        <v>3991989</v>
      </c>
      <c r="J18" s="35">
        <f t="shared" ref="J18:K18" si="2">SUM(J15:J17)</f>
        <v>0</v>
      </c>
      <c r="K18" s="35">
        <f t="shared" si="2"/>
        <v>0</v>
      </c>
      <c r="L18" s="36" t="s">
        <v>122</v>
      </c>
      <c r="N18" s="52"/>
    </row>
    <row r="19" spans="2:24" ht="33" customHeight="1" thickBot="1" x14ac:dyDescent="0.4">
      <c r="B19" s="24" t="s">
        <v>138</v>
      </c>
      <c r="C19" s="31" t="s">
        <v>121</v>
      </c>
      <c r="D19" s="32">
        <v>353664</v>
      </c>
      <c r="E19" s="32">
        <v>273534</v>
      </c>
      <c r="F19" s="32">
        <v>273534</v>
      </c>
      <c r="G19" s="33">
        <f t="shared" si="0"/>
        <v>1.2929434732062559</v>
      </c>
      <c r="H19" s="42" t="s">
        <v>121</v>
      </c>
      <c r="I19" s="32">
        <v>5771819</v>
      </c>
      <c r="J19" s="32">
        <v>1881446</v>
      </c>
      <c r="K19" s="32">
        <v>1881446</v>
      </c>
      <c r="L19" s="33">
        <f t="shared" ref="L19:L31" si="3">I19/K19</f>
        <v>3.0677569273845755</v>
      </c>
      <c r="N19" s="442" t="s">
        <v>99</v>
      </c>
      <c r="O19" s="443"/>
      <c r="P19" s="443"/>
      <c r="Q19" s="443"/>
      <c r="R19" s="443"/>
      <c r="S19" s="443"/>
      <c r="T19" s="443"/>
      <c r="U19" s="443"/>
      <c r="V19" s="443"/>
      <c r="W19" s="443"/>
      <c r="X19" s="444"/>
    </row>
    <row r="20" spans="2:24" ht="33" customHeight="1" thickBot="1" x14ac:dyDescent="0.4">
      <c r="B20" s="24" t="s">
        <v>139</v>
      </c>
      <c r="C20" s="31" t="s">
        <v>121</v>
      </c>
      <c r="D20" s="32">
        <v>366726</v>
      </c>
      <c r="E20" s="32">
        <v>245871</v>
      </c>
      <c r="F20" s="32">
        <v>245871</v>
      </c>
      <c r="G20" s="33">
        <f t="shared" si="0"/>
        <v>1.4915382456654098</v>
      </c>
      <c r="H20" s="42" t="s">
        <v>121</v>
      </c>
      <c r="I20" s="32">
        <v>6914780</v>
      </c>
      <c r="J20" s="32">
        <v>3762892</v>
      </c>
      <c r="K20" s="32">
        <v>3762892</v>
      </c>
      <c r="L20" s="33">
        <f t="shared" si="3"/>
        <v>1.8376238276304502</v>
      </c>
      <c r="N20" s="82" t="s">
        <v>109</v>
      </c>
      <c r="O20" s="83" t="s">
        <v>110</v>
      </c>
      <c r="P20" s="83" t="s">
        <v>111</v>
      </c>
      <c r="Q20" s="83" t="s">
        <v>112</v>
      </c>
      <c r="R20" s="83" t="s">
        <v>113</v>
      </c>
      <c r="S20" s="83" t="s">
        <v>114</v>
      </c>
      <c r="T20" s="83" t="s">
        <v>115</v>
      </c>
      <c r="U20" s="83" t="s">
        <v>116</v>
      </c>
      <c r="V20" s="83" t="s">
        <v>117</v>
      </c>
      <c r="W20" s="83" t="s">
        <v>118</v>
      </c>
      <c r="X20" s="84" t="s">
        <v>119</v>
      </c>
    </row>
    <row r="21" spans="2:24" ht="33" customHeight="1" x14ac:dyDescent="0.35">
      <c r="B21" s="24" t="s">
        <v>140</v>
      </c>
      <c r="C21" s="31" t="s">
        <v>121</v>
      </c>
      <c r="D21" s="32">
        <v>304624</v>
      </c>
      <c r="E21" s="32">
        <v>216495</v>
      </c>
      <c r="F21" s="32">
        <v>216495</v>
      </c>
      <c r="G21" s="33">
        <f t="shared" si="0"/>
        <v>1.4070717568535069</v>
      </c>
      <c r="H21" s="42" t="s">
        <v>121</v>
      </c>
      <c r="I21" s="32">
        <v>6296042</v>
      </c>
      <c r="J21" s="32">
        <v>5644338</v>
      </c>
      <c r="K21" s="32">
        <v>5644338</v>
      </c>
      <c r="L21" s="33">
        <f t="shared" si="3"/>
        <v>1.1154615474835137</v>
      </c>
      <c r="N21" s="79" t="s">
        <v>141</v>
      </c>
      <c r="O21" s="80"/>
      <c r="P21" s="80"/>
      <c r="Q21" s="80"/>
      <c r="R21" s="80">
        <v>1157810</v>
      </c>
      <c r="S21" s="80">
        <v>1836138</v>
      </c>
      <c r="T21" s="80">
        <v>2220590</v>
      </c>
      <c r="U21" s="80">
        <v>824815</v>
      </c>
      <c r="V21" s="80">
        <v>651005</v>
      </c>
      <c r="W21" s="80">
        <v>1667500</v>
      </c>
      <c r="X21" s="81">
        <v>316324</v>
      </c>
    </row>
    <row r="22" spans="2:24" ht="33" customHeight="1" x14ac:dyDescent="0.35">
      <c r="B22" s="25" t="s">
        <v>142</v>
      </c>
      <c r="C22" s="34" t="s">
        <v>121</v>
      </c>
      <c r="D22" s="35">
        <f>SUM(D19:D21)</f>
        <v>1025014</v>
      </c>
      <c r="E22" s="35">
        <f t="shared" ref="E22" si="4">SUM(E19:E21)</f>
        <v>735900</v>
      </c>
      <c r="F22" s="35">
        <f t="shared" ref="F22" si="5">SUM(F19:F21)</f>
        <v>735900</v>
      </c>
      <c r="G22" s="36">
        <f t="shared" si="0"/>
        <v>1.3928713140372333</v>
      </c>
      <c r="H22" s="43" t="s">
        <v>121</v>
      </c>
      <c r="I22" s="35">
        <f>SUM(I19:I21)</f>
        <v>18982641</v>
      </c>
      <c r="J22" s="35">
        <f t="shared" ref="J22:K22" si="6">SUM(J19:J21)</f>
        <v>11288676</v>
      </c>
      <c r="K22" s="35">
        <f t="shared" si="6"/>
        <v>11288676</v>
      </c>
      <c r="L22" s="36">
        <f t="shared" si="3"/>
        <v>1.681564870849336</v>
      </c>
      <c r="N22" s="60" t="s">
        <v>125</v>
      </c>
      <c r="O22" s="62"/>
      <c r="P22" s="62"/>
      <c r="Q22" s="62"/>
      <c r="R22" s="62" t="s">
        <v>121</v>
      </c>
      <c r="S22" s="62" t="s">
        <v>121</v>
      </c>
      <c r="T22" s="62" t="s">
        <v>121</v>
      </c>
      <c r="U22" s="62" t="s">
        <v>121</v>
      </c>
      <c r="V22" s="62" t="s">
        <v>121</v>
      </c>
      <c r="W22" s="62" t="s">
        <v>121</v>
      </c>
      <c r="X22" s="63" t="s">
        <v>121</v>
      </c>
    </row>
    <row r="23" spans="2:24" ht="33" customHeight="1" thickBot="1" x14ac:dyDescent="0.4">
      <c r="B23" s="24" t="s">
        <v>143</v>
      </c>
      <c r="C23" s="37" t="s">
        <v>126</v>
      </c>
      <c r="D23" s="32">
        <v>275564</v>
      </c>
      <c r="E23" s="32">
        <v>223445.99405183073</v>
      </c>
      <c r="F23" s="32">
        <v>223408</v>
      </c>
      <c r="G23" s="33">
        <f t="shared" si="0"/>
        <v>1.2334562773043043</v>
      </c>
      <c r="H23" s="73" t="s">
        <v>126</v>
      </c>
      <c r="I23" s="32">
        <v>6515201</v>
      </c>
      <c r="J23" s="32">
        <v>5194921.4161395058</v>
      </c>
      <c r="K23" s="32">
        <v>5066568</v>
      </c>
      <c r="L23" s="33">
        <f t="shared" si="3"/>
        <v>1.2859199758100552</v>
      </c>
      <c r="N23" s="64" t="s">
        <v>128</v>
      </c>
      <c r="O23" s="65"/>
      <c r="P23" s="65"/>
      <c r="Q23" s="66"/>
      <c r="R23" s="66" t="s">
        <v>132</v>
      </c>
      <c r="S23" s="66" t="s">
        <v>133</v>
      </c>
      <c r="T23" s="66" t="s">
        <v>134</v>
      </c>
      <c r="U23" s="65" t="s">
        <v>135</v>
      </c>
      <c r="V23" s="67"/>
      <c r="W23" s="67"/>
      <c r="X23" s="68"/>
    </row>
    <row r="24" spans="2:24" ht="33" customHeight="1" x14ac:dyDescent="0.35">
      <c r="B24" s="24" t="s">
        <v>144</v>
      </c>
      <c r="C24" s="37" t="s">
        <v>126</v>
      </c>
      <c r="D24" s="32">
        <v>211414</v>
      </c>
      <c r="E24" s="32">
        <v>185278</v>
      </c>
      <c r="F24" s="32">
        <v>180913</v>
      </c>
      <c r="G24" s="33">
        <f t="shared" si="0"/>
        <v>1.1685948494580267</v>
      </c>
      <c r="H24" s="73" t="s">
        <v>126</v>
      </c>
      <c r="I24" s="32">
        <v>6836449</v>
      </c>
      <c r="J24" s="32">
        <v>5433379.4147227583</v>
      </c>
      <c r="K24" s="32">
        <v>5369967</v>
      </c>
      <c r="L24" s="33">
        <f t="shared" si="3"/>
        <v>1.2730895739210315</v>
      </c>
    </row>
    <row r="25" spans="2:24" ht="33" customHeight="1" x14ac:dyDescent="0.35">
      <c r="B25" s="24" t="s">
        <v>145</v>
      </c>
      <c r="C25" s="37" t="s">
        <v>126</v>
      </c>
      <c r="D25" s="32">
        <v>197694</v>
      </c>
      <c r="E25" s="32">
        <v>191603</v>
      </c>
      <c r="F25" s="32">
        <v>174349</v>
      </c>
      <c r="G25" s="33">
        <f t="shared" si="0"/>
        <v>1.13389810093548</v>
      </c>
      <c r="H25" s="73" t="s">
        <v>126</v>
      </c>
      <c r="I25" s="32">
        <v>5868915</v>
      </c>
      <c r="J25" s="32">
        <v>5429061.1936935615</v>
      </c>
      <c r="K25" s="32">
        <v>5369967</v>
      </c>
      <c r="L25" s="33">
        <f t="shared" si="3"/>
        <v>1.092914537463638</v>
      </c>
      <c r="N25" s="52" t="s">
        <v>66</v>
      </c>
    </row>
    <row r="26" spans="2:24" ht="33" customHeight="1" x14ac:dyDescent="0.35">
      <c r="B26" s="24" t="s">
        <v>146</v>
      </c>
      <c r="C26" s="37" t="s">
        <v>126</v>
      </c>
      <c r="D26" s="32">
        <v>91233</v>
      </c>
      <c r="E26" s="32">
        <v>77329</v>
      </c>
      <c r="F26" s="32">
        <v>77329</v>
      </c>
      <c r="G26" s="33">
        <f t="shared" si="0"/>
        <v>1.1798031786263885</v>
      </c>
      <c r="H26" s="73" t="s">
        <v>126</v>
      </c>
      <c r="I26" s="32">
        <v>2947129</v>
      </c>
      <c r="J26" s="32">
        <v>2634576</v>
      </c>
      <c r="K26" s="32">
        <v>2634576</v>
      </c>
      <c r="L26" s="33">
        <f t="shared" si="3"/>
        <v>1.1186350289382427</v>
      </c>
      <c r="N26" s="447" t="s">
        <v>147</v>
      </c>
      <c r="O26" s="448"/>
      <c r="P26" s="448"/>
      <c r="Q26" s="448"/>
      <c r="R26" s="448"/>
      <c r="S26" s="448"/>
      <c r="T26" s="448"/>
      <c r="U26" s="448"/>
      <c r="V26" s="448"/>
      <c r="W26" s="449"/>
    </row>
    <row r="27" spans="2:24" ht="33" customHeight="1" x14ac:dyDescent="0.35">
      <c r="B27" s="25" t="s">
        <v>148</v>
      </c>
      <c r="C27" s="34" t="s">
        <v>126</v>
      </c>
      <c r="D27" s="35">
        <f>SUM(D23:D26)</f>
        <v>775905</v>
      </c>
      <c r="E27" s="35">
        <f t="shared" ref="E27:F27" si="7">SUM(E23:E26)</f>
        <v>677655.99405183073</v>
      </c>
      <c r="F27" s="35">
        <f t="shared" si="7"/>
        <v>655999</v>
      </c>
      <c r="G27" s="36">
        <f t="shared" si="0"/>
        <v>1.1827838152192305</v>
      </c>
      <c r="H27" s="74" t="s">
        <v>126</v>
      </c>
      <c r="I27" s="35">
        <f>SUM(I23:I26)</f>
        <v>22167694</v>
      </c>
      <c r="J27" s="35">
        <f t="shared" ref="J27:K27" si="8">SUM(J23:J26)</f>
        <v>18691938.024555825</v>
      </c>
      <c r="K27" s="35">
        <f t="shared" si="8"/>
        <v>18441078</v>
      </c>
      <c r="L27" s="36">
        <f t="shared" si="3"/>
        <v>1.2020823294603493</v>
      </c>
      <c r="N27" s="453" t="s">
        <v>149</v>
      </c>
      <c r="O27" s="454"/>
      <c r="P27" s="454"/>
      <c r="Q27" s="454"/>
      <c r="R27" s="454"/>
      <c r="S27" s="454"/>
      <c r="T27" s="454"/>
      <c r="U27" s="454"/>
      <c r="V27" s="454"/>
      <c r="W27" s="455"/>
    </row>
    <row r="28" spans="2:24" ht="33" customHeight="1" x14ac:dyDescent="0.35">
      <c r="B28" s="26">
        <v>2018</v>
      </c>
      <c r="C28" s="37" t="s">
        <v>126</v>
      </c>
      <c r="D28" s="32">
        <v>377775</v>
      </c>
      <c r="E28" s="32">
        <v>358145</v>
      </c>
      <c r="F28" s="32">
        <v>358145</v>
      </c>
      <c r="G28" s="33">
        <f t="shared" si="0"/>
        <v>1.0548102025715842</v>
      </c>
      <c r="H28" s="73" t="s">
        <v>126</v>
      </c>
      <c r="I28" s="32">
        <v>7353769</v>
      </c>
      <c r="J28" s="32">
        <v>3716492</v>
      </c>
      <c r="K28" s="32">
        <v>3716492</v>
      </c>
      <c r="L28" s="33">
        <f t="shared" si="3"/>
        <v>1.9786855454014163</v>
      </c>
      <c r="N28" s="53"/>
      <c r="O28" s="53"/>
      <c r="P28" s="53"/>
      <c r="Q28" s="53"/>
      <c r="R28" s="53"/>
      <c r="S28" s="53"/>
      <c r="T28" s="53"/>
      <c r="U28" s="53"/>
      <c r="V28" s="53"/>
      <c r="W28" s="53"/>
    </row>
    <row r="29" spans="2:24" ht="33" customHeight="1" x14ac:dyDescent="0.35">
      <c r="B29" s="26">
        <v>2019</v>
      </c>
      <c r="C29" s="37" t="s">
        <v>126</v>
      </c>
      <c r="D29" s="32">
        <v>344447</v>
      </c>
      <c r="E29" s="32">
        <v>349134</v>
      </c>
      <c r="F29" s="32">
        <v>356662</v>
      </c>
      <c r="G29" s="33">
        <f t="shared" si="0"/>
        <v>0.96575188834246428</v>
      </c>
      <c r="H29" s="73" t="s">
        <v>126</v>
      </c>
      <c r="I29" s="32">
        <v>4188155</v>
      </c>
      <c r="J29" s="32">
        <v>3524551</v>
      </c>
      <c r="K29" s="32">
        <v>3502780</v>
      </c>
      <c r="L29" s="33">
        <f t="shared" si="3"/>
        <v>1.1956660138518549</v>
      </c>
      <c r="N29" s="53"/>
      <c r="O29" s="53"/>
      <c r="P29" s="53"/>
      <c r="Q29" s="53"/>
      <c r="R29" s="53"/>
      <c r="S29" s="53"/>
      <c r="T29" s="53"/>
      <c r="U29" s="53"/>
      <c r="V29" s="53"/>
      <c r="W29" s="53"/>
    </row>
    <row r="30" spans="2:24" ht="33" customHeight="1" x14ac:dyDescent="0.35">
      <c r="B30" s="26">
        <v>2020</v>
      </c>
      <c r="C30" s="37" t="s">
        <v>126</v>
      </c>
      <c r="D30" s="32">
        <v>442517</v>
      </c>
      <c r="E30" s="32">
        <v>326421</v>
      </c>
      <c r="F30" s="32">
        <v>370720</v>
      </c>
      <c r="G30" s="33">
        <f t="shared" si="0"/>
        <v>1.193669076391886</v>
      </c>
      <c r="H30" s="73" t="s">
        <v>126</v>
      </c>
      <c r="I30" s="32">
        <v>4296545</v>
      </c>
      <c r="J30" s="32">
        <v>3074613</v>
      </c>
      <c r="K30" s="75">
        <v>3134293</v>
      </c>
      <c r="L30" s="33">
        <f t="shared" si="3"/>
        <v>1.3708179165125915</v>
      </c>
    </row>
    <row r="31" spans="2:24" ht="33" customHeight="1" x14ac:dyDescent="0.35">
      <c r="B31" s="26">
        <v>2021</v>
      </c>
      <c r="C31" s="37" t="s">
        <v>126</v>
      </c>
      <c r="D31" s="201">
        <v>451995</v>
      </c>
      <c r="E31" s="32">
        <v>350411</v>
      </c>
      <c r="F31" s="32">
        <v>446768</v>
      </c>
      <c r="G31" s="33">
        <f t="shared" si="0"/>
        <v>1.0116995845718584</v>
      </c>
      <c r="H31" s="73" t="s">
        <v>126</v>
      </c>
      <c r="I31" s="32">
        <v>3407124</v>
      </c>
      <c r="J31" s="32">
        <v>3129204</v>
      </c>
      <c r="K31" s="75">
        <v>3209155</v>
      </c>
      <c r="L31" s="33">
        <f t="shared" si="3"/>
        <v>1.0616888246282901</v>
      </c>
    </row>
    <row r="32" spans="2:24" ht="33" customHeight="1" x14ac:dyDescent="0.35">
      <c r="B32" s="25" t="s">
        <v>150</v>
      </c>
      <c r="C32" s="34" t="s">
        <v>126</v>
      </c>
      <c r="D32" s="35">
        <f>SUM(D28:D31)</f>
        <v>1616734</v>
      </c>
      <c r="E32" s="35">
        <f t="shared" ref="E32" si="9">SUM(E28:E31)</f>
        <v>1384111</v>
      </c>
      <c r="F32" s="35">
        <f t="shared" ref="F32" si="10">SUM(F28:F31)</f>
        <v>1532295</v>
      </c>
      <c r="G32" s="36">
        <f>D32/F32</f>
        <v>1.0551062295445721</v>
      </c>
      <c r="H32" s="74" t="s">
        <v>126</v>
      </c>
      <c r="I32" s="76">
        <f>SUM(I28:I31)</f>
        <v>19245593</v>
      </c>
      <c r="J32" s="35">
        <f t="shared" ref="J32:K32" si="11">SUM(J28:J31)</f>
        <v>13444860</v>
      </c>
      <c r="K32" s="35">
        <f t="shared" si="11"/>
        <v>13562720</v>
      </c>
      <c r="L32" s="36">
        <f>I32/K32</f>
        <v>1.4190068806257152</v>
      </c>
    </row>
    <row r="33" spans="2:16" ht="33" customHeight="1" x14ac:dyDescent="0.35">
      <c r="B33" s="26">
        <v>2022</v>
      </c>
      <c r="C33" s="37" t="s">
        <v>126</v>
      </c>
      <c r="D33" s="32">
        <f>216708+153806+86892</f>
        <v>457406</v>
      </c>
      <c r="E33" s="32">
        <v>446827</v>
      </c>
      <c r="F33" s="32">
        <v>419203</v>
      </c>
      <c r="G33" s="33">
        <f>D33/F33</f>
        <v>1.0911324584986271</v>
      </c>
      <c r="H33" s="73" t="s">
        <v>126</v>
      </c>
      <c r="I33" s="32">
        <f>1926934+2171063</f>
        <v>4097997</v>
      </c>
      <c r="J33" s="32">
        <v>3242620</v>
      </c>
      <c r="K33" s="32">
        <v>3358430</v>
      </c>
      <c r="L33" s="33">
        <f>I33/K33</f>
        <v>1.2202121229264864</v>
      </c>
      <c r="P33" s="203"/>
    </row>
    <row r="34" spans="2:16" ht="33" customHeight="1" x14ac:dyDescent="0.35">
      <c r="B34" s="26">
        <v>2023</v>
      </c>
      <c r="C34" s="37" t="s">
        <v>126</v>
      </c>
      <c r="D34" s="32">
        <v>457158</v>
      </c>
      <c r="E34" s="32">
        <v>387366</v>
      </c>
      <c r="F34" s="32">
        <v>381110</v>
      </c>
      <c r="G34" s="33">
        <f>D34/F34</f>
        <v>1.1995434389021542</v>
      </c>
      <c r="H34" s="73" t="s">
        <v>126</v>
      </c>
      <c r="I34" s="32">
        <v>4301120</v>
      </c>
      <c r="J34" s="32">
        <v>3325705</v>
      </c>
      <c r="K34" s="32">
        <v>3447082</v>
      </c>
      <c r="L34" s="33">
        <f t="shared" ref="L34:L36" si="12">I34/K34</f>
        <v>1.2477567983587277</v>
      </c>
      <c r="P34" s="204"/>
    </row>
    <row r="35" spans="2:16" ht="33" customHeight="1" x14ac:dyDescent="0.35">
      <c r="B35" s="26">
        <v>2024</v>
      </c>
      <c r="C35" s="37" t="s">
        <v>126</v>
      </c>
      <c r="D35" s="201">
        <v>438825</v>
      </c>
      <c r="E35" s="201">
        <v>433326</v>
      </c>
      <c r="F35" s="32">
        <v>424284</v>
      </c>
      <c r="G35" s="33">
        <f t="shared" ref="G35:G36" si="13">D35/F35</f>
        <v>1.0342718556438613</v>
      </c>
      <c r="H35" s="73" t="s">
        <v>126</v>
      </c>
      <c r="I35" s="201">
        <v>5552401</v>
      </c>
      <c r="J35" s="201">
        <v>3390229</v>
      </c>
      <c r="K35" s="75">
        <v>3508988</v>
      </c>
      <c r="L35" s="33">
        <f t="shared" si="12"/>
        <v>1.5823368446971036</v>
      </c>
    </row>
    <row r="36" spans="2:16" ht="33" customHeight="1" x14ac:dyDescent="0.35">
      <c r="B36" s="26">
        <v>2025</v>
      </c>
      <c r="C36" s="37" t="s">
        <v>151</v>
      </c>
      <c r="D36" s="201">
        <v>408411</v>
      </c>
      <c r="E36" s="201">
        <v>399615</v>
      </c>
      <c r="F36" s="32">
        <v>394680</v>
      </c>
      <c r="G36" s="33">
        <f t="shared" si="13"/>
        <v>1.0347902097902097</v>
      </c>
      <c r="H36" s="73" t="s">
        <v>151</v>
      </c>
      <c r="I36" s="201">
        <v>3702202</v>
      </c>
      <c r="J36" s="201">
        <v>3601435</v>
      </c>
      <c r="K36" s="75">
        <v>3562298</v>
      </c>
      <c r="L36" s="33">
        <f t="shared" si="12"/>
        <v>1.0392735251233896</v>
      </c>
    </row>
    <row r="37" spans="2:16" ht="33" customHeight="1" thickBot="1" x14ac:dyDescent="0.4">
      <c r="B37" s="27" t="s">
        <v>152</v>
      </c>
      <c r="C37" s="38" t="s">
        <v>153</v>
      </c>
      <c r="D37" s="39">
        <f>SUM(D33:D36)</f>
        <v>1761800</v>
      </c>
      <c r="E37" s="39">
        <f t="shared" ref="E37" si="14">SUM(E33:E36)</f>
        <v>1667134</v>
      </c>
      <c r="F37" s="39">
        <f t="shared" ref="F37" si="15">SUM(F33:F36)</f>
        <v>1619277</v>
      </c>
      <c r="G37" s="40">
        <f>D37/F37</f>
        <v>1.0880164419058629</v>
      </c>
      <c r="H37" s="77" t="s">
        <v>153</v>
      </c>
      <c r="I37" s="39">
        <f>SUM(I33:I36)</f>
        <v>17653720</v>
      </c>
      <c r="J37" s="39">
        <f t="shared" ref="J37:K37" si="16">SUM(J33:J36)</f>
        <v>13559989</v>
      </c>
      <c r="K37" s="39">
        <f t="shared" si="16"/>
        <v>13876798</v>
      </c>
      <c r="L37" s="40">
        <f>I37/K37</f>
        <v>1.272175324595775</v>
      </c>
    </row>
    <row r="38" spans="2:16" ht="33" customHeight="1" x14ac:dyDescent="0.35">
      <c r="B38" s="26">
        <v>2026</v>
      </c>
      <c r="C38" s="37" t="s">
        <v>151</v>
      </c>
      <c r="D38" s="32">
        <f>'1- Ex Ante Results'!C82</f>
        <v>75248</v>
      </c>
      <c r="E38" s="32">
        <v>291158</v>
      </c>
      <c r="F38" s="32">
        <v>291158</v>
      </c>
      <c r="G38" s="33">
        <f>D38/F38</f>
        <v>0.25844386896461713</v>
      </c>
      <c r="H38" s="73" t="s">
        <v>151</v>
      </c>
      <c r="I38" s="32">
        <f>'1- Ex Ante Results'!H82</f>
        <v>909605</v>
      </c>
      <c r="J38" s="32">
        <v>3183970</v>
      </c>
      <c r="K38" s="32">
        <v>3183970</v>
      </c>
      <c r="L38" s="33">
        <f>I38/K38</f>
        <v>0.28568265404510723</v>
      </c>
    </row>
    <row r="39" spans="2:16" ht="33" customHeight="1" x14ac:dyDescent="0.35">
      <c r="B39" s="26">
        <v>2027</v>
      </c>
      <c r="C39" s="37"/>
      <c r="D39" s="32"/>
      <c r="E39" s="32"/>
      <c r="F39" s="32"/>
      <c r="G39" s="33"/>
      <c r="H39" s="73"/>
      <c r="I39" s="32"/>
      <c r="J39" s="32"/>
      <c r="K39" s="32"/>
      <c r="L39" s="33"/>
    </row>
    <row r="40" spans="2:16" ht="33" customHeight="1" x14ac:dyDescent="0.35">
      <c r="B40" s="26">
        <v>2028</v>
      </c>
      <c r="C40" s="37"/>
      <c r="D40" s="201"/>
      <c r="E40" s="201"/>
      <c r="F40" s="32"/>
      <c r="G40" s="33"/>
      <c r="H40" s="73"/>
      <c r="I40" s="201"/>
      <c r="J40" s="201"/>
      <c r="K40" s="75"/>
      <c r="L40" s="33"/>
    </row>
    <row r="41" spans="2:16" ht="33" customHeight="1" x14ac:dyDescent="0.35">
      <c r="B41" s="26">
        <v>2029</v>
      </c>
      <c r="C41" s="37"/>
      <c r="D41" s="201"/>
      <c r="E41" s="201"/>
      <c r="F41" s="32"/>
      <c r="G41" s="33"/>
      <c r="H41" s="73"/>
      <c r="I41" s="201"/>
      <c r="J41" s="201"/>
      <c r="K41" s="75"/>
      <c r="L41" s="33"/>
    </row>
    <row r="42" spans="2:16" ht="33" customHeight="1" thickBot="1" x14ac:dyDescent="0.4">
      <c r="B42" s="27" t="s">
        <v>152</v>
      </c>
      <c r="C42" s="38" t="s">
        <v>153</v>
      </c>
      <c r="D42" s="39">
        <f>SUM(D38:D41)</f>
        <v>75248</v>
      </c>
      <c r="E42" s="39">
        <f t="shared" ref="E42:F42" si="17">SUM(E38:E41)</f>
        <v>291158</v>
      </c>
      <c r="F42" s="39">
        <f t="shared" si="17"/>
        <v>291158</v>
      </c>
      <c r="G42" s="40">
        <f>D42/F42</f>
        <v>0.25844386896461713</v>
      </c>
      <c r="H42" s="77" t="s">
        <v>153</v>
      </c>
      <c r="I42" s="78">
        <f>SUM(I38:I41)</f>
        <v>909605</v>
      </c>
      <c r="J42" s="39">
        <f t="shared" ref="J42:K42" si="18">SUM(J38:J41)</f>
        <v>3183970</v>
      </c>
      <c r="K42" s="39">
        <f t="shared" si="18"/>
        <v>3183970</v>
      </c>
      <c r="L42" s="40">
        <f>I42/K42</f>
        <v>0.28568265404510723</v>
      </c>
    </row>
    <row r="43" spans="2:16" ht="33" customHeight="1" x14ac:dyDescent="0.35">
      <c r="B43" s="303"/>
      <c r="C43" s="304"/>
      <c r="D43" s="305"/>
      <c r="E43" s="305"/>
      <c r="F43" s="305"/>
      <c r="G43" s="306"/>
      <c r="H43" s="306"/>
      <c r="I43" s="307"/>
      <c r="J43" s="305"/>
      <c r="K43" s="305"/>
      <c r="L43" s="306"/>
    </row>
    <row r="44" spans="2:16" ht="14.5" customHeight="1" x14ac:dyDescent="0.35">
      <c r="B44" s="54"/>
      <c r="C44" s="55"/>
      <c r="D44" s="56"/>
      <c r="E44" s="56"/>
      <c r="F44" s="56"/>
      <c r="G44" s="57"/>
      <c r="H44" s="57"/>
      <c r="I44" s="57"/>
      <c r="J44" s="57"/>
      <c r="K44" s="57"/>
      <c r="L44" s="57"/>
    </row>
    <row r="45" spans="2:16" x14ac:dyDescent="0.35">
      <c r="B45" s="52" t="s">
        <v>66</v>
      </c>
    </row>
    <row r="46" spans="2:16" ht="46.4" customHeight="1" x14ac:dyDescent="0.35">
      <c r="B46" s="446" t="s">
        <v>154</v>
      </c>
      <c r="C46" s="446"/>
      <c r="D46" s="446"/>
      <c r="E46" s="446"/>
      <c r="F46" s="446"/>
      <c r="G46" s="446"/>
      <c r="H46" s="58"/>
      <c r="I46" s="58"/>
      <c r="J46" s="58"/>
      <c r="K46" s="58"/>
      <c r="L46" s="58"/>
    </row>
    <row r="47" spans="2:16" ht="42.75" customHeight="1" x14ac:dyDescent="0.35">
      <c r="B47" s="446" t="s">
        <v>155</v>
      </c>
      <c r="C47" s="446"/>
      <c r="D47" s="446"/>
      <c r="E47" s="446"/>
      <c r="F47" s="446"/>
      <c r="G47" s="446"/>
      <c r="H47" s="58"/>
      <c r="I47" s="58"/>
      <c r="J47" s="58"/>
      <c r="K47" s="58"/>
      <c r="L47" s="58"/>
    </row>
    <row r="48" spans="2:16" ht="42" customHeight="1" x14ac:dyDescent="0.35">
      <c r="B48" s="410" t="s">
        <v>156</v>
      </c>
      <c r="C48" s="410"/>
      <c r="D48" s="410"/>
      <c r="E48" s="410"/>
      <c r="F48" s="410"/>
      <c r="G48" s="410"/>
      <c r="H48" s="59"/>
      <c r="I48" s="59"/>
      <c r="J48" s="59"/>
      <c r="K48" s="59"/>
      <c r="L48" s="59"/>
    </row>
  </sheetData>
  <mergeCells count="10">
    <mergeCell ref="N19:X19"/>
    <mergeCell ref="B48:G48"/>
    <mergeCell ref="B5:G9"/>
    <mergeCell ref="B46:G46"/>
    <mergeCell ref="B47:G47"/>
    <mergeCell ref="N26:W26"/>
    <mergeCell ref="H13:L13"/>
    <mergeCell ref="C13:G13"/>
    <mergeCell ref="N27:W27"/>
    <mergeCell ref="N13:X13"/>
  </mergeCells>
  <hyperlinks>
    <hyperlink ref="O17" r:id="rId1" xr:uid="{F55EC2AE-115D-4E52-A5EE-1CD6254A0CD1}"/>
    <hyperlink ref="P17" r:id="rId2" display="Docket 10-0520, Staff Ex. 1.1, p. 12." xr:uid="{A202BF72-5341-40BB-BF2F-DA8232CF1059}"/>
    <hyperlink ref="U17" r:id="rId3" xr:uid="{AE251BDF-4AFD-4580-9734-60A995F2A724}"/>
    <hyperlink ref="V17" r:id="rId4" xr:uid="{D19073C8-6AD3-478E-8B5C-AFAE45412EDA}"/>
    <hyperlink ref="W17" r:id="rId5" xr:uid="{F5ADF5E5-843C-4EA0-8F04-79A4370196C8}"/>
    <hyperlink ref="U23" r:id="rId6" xr:uid="{C5723988-8714-44F7-B449-C0A7FAFD3390}"/>
  </hyperlinks>
  <printOptions headings="1"/>
  <pageMargins left="0.7" right="0.7" top="0.75" bottom="0.75" header="0.3" footer="0.3"/>
  <pageSetup scale="44" orientation="landscape" r:id="rId7"/>
  <ignoredErrors>
    <ignoredError sqref="L19:L37 G15:G33 G35:G37"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U48"/>
  <sheetViews>
    <sheetView zoomScaleNormal="100" workbookViewId="0">
      <pane xSplit="2" ySplit="11" topLeftCell="C12" activePane="bottomRight" state="frozen"/>
      <selection pane="topRight" activeCell="C1" sqref="C1"/>
      <selection pane="bottomLeft" activeCell="A12" sqref="A12"/>
      <selection pane="bottomRight" activeCell="C12" sqref="C12"/>
    </sheetView>
  </sheetViews>
  <sheetFormatPr defaultColWidth="9.1796875" defaultRowHeight="14.5" x14ac:dyDescent="0.35"/>
  <cols>
    <col min="1" max="1" width="4.453125" style="45" customWidth="1"/>
    <col min="2" max="2" width="49.81640625" style="45" customWidth="1"/>
    <col min="3" max="17" width="12.7265625" style="45" customWidth="1"/>
    <col min="18" max="18" width="12.81640625" style="45" customWidth="1"/>
    <col min="19" max="19" width="13.81640625" style="45" customWidth="1"/>
    <col min="20" max="20" width="15.54296875" style="45" customWidth="1"/>
    <col min="21" max="21" width="16.453125" style="45" customWidth="1"/>
    <col min="22" max="16384" width="9.1796875" style="45"/>
  </cols>
  <sheetData>
    <row r="1" spans="2:21" x14ac:dyDescent="0.35">
      <c r="B1" s="46" t="s">
        <v>0</v>
      </c>
    </row>
    <row r="2" spans="2:21" x14ac:dyDescent="0.35">
      <c r="B2" s="46" t="s">
        <v>157</v>
      </c>
    </row>
    <row r="3" spans="2:21" x14ac:dyDescent="0.35">
      <c r="B3" s="46" t="s">
        <v>2</v>
      </c>
    </row>
    <row r="4" spans="2:21" x14ac:dyDescent="0.35">
      <c r="B4" s="46"/>
    </row>
    <row r="5" spans="2:21" ht="22.4" customHeight="1" x14ac:dyDescent="0.35">
      <c r="B5" s="417" t="s">
        <v>158</v>
      </c>
      <c r="C5" s="417"/>
      <c r="D5" s="417"/>
      <c r="E5" s="417"/>
      <c r="F5" s="417"/>
      <c r="G5" s="417"/>
      <c r="H5" s="417"/>
      <c r="I5" s="417"/>
      <c r="J5" s="417"/>
      <c r="K5" s="417"/>
    </row>
    <row r="6" spans="2:21" ht="21" customHeight="1" x14ac:dyDescent="0.35">
      <c r="B6" s="417"/>
      <c r="C6" s="417"/>
      <c r="D6" s="417"/>
      <c r="E6" s="417"/>
      <c r="F6" s="417"/>
      <c r="G6" s="417"/>
      <c r="H6" s="417"/>
      <c r="I6" s="417"/>
      <c r="J6" s="417"/>
      <c r="K6" s="417"/>
    </row>
    <row r="7" spans="2:21" ht="21" customHeight="1" x14ac:dyDescent="0.35">
      <c r="B7" s="417"/>
      <c r="C7" s="417"/>
      <c r="D7" s="417"/>
      <c r="E7" s="417"/>
      <c r="F7" s="417"/>
      <c r="G7" s="417"/>
      <c r="H7" s="417"/>
      <c r="I7" s="417"/>
      <c r="J7" s="417"/>
      <c r="K7" s="417"/>
    </row>
    <row r="8" spans="2:21" x14ac:dyDescent="0.35">
      <c r="B8" s="109"/>
      <c r="C8" s="109"/>
      <c r="D8" s="109"/>
      <c r="E8" s="109"/>
      <c r="F8" s="109"/>
      <c r="G8" s="109"/>
      <c r="H8" s="109"/>
      <c r="I8" s="109"/>
      <c r="J8" s="109"/>
      <c r="K8" s="109"/>
      <c r="L8" s="109"/>
    </row>
    <row r="9" spans="2:21" x14ac:dyDescent="0.35">
      <c r="B9" s="51" t="s">
        <v>159</v>
      </c>
      <c r="C9" s="51"/>
      <c r="D9" s="131"/>
      <c r="E9" s="131"/>
      <c r="F9" s="132"/>
      <c r="G9" s="132"/>
      <c r="H9" s="132"/>
      <c r="I9" s="132"/>
      <c r="J9" s="132"/>
      <c r="K9" s="132"/>
      <c r="L9" s="132"/>
    </row>
    <row r="10" spans="2:21" x14ac:dyDescent="0.35">
      <c r="B10" s="131"/>
      <c r="C10" s="131"/>
      <c r="D10" s="131"/>
      <c r="E10" s="131"/>
      <c r="F10" s="132"/>
      <c r="G10" s="132"/>
      <c r="H10" s="132"/>
      <c r="I10" s="132"/>
      <c r="J10" s="132"/>
      <c r="K10" s="132"/>
      <c r="L10" s="132"/>
    </row>
    <row r="11" spans="2:21" ht="28" x14ac:dyDescent="0.35">
      <c r="B11" s="3" t="s">
        <v>160</v>
      </c>
      <c r="C11" s="2" t="s">
        <v>110</v>
      </c>
      <c r="D11" s="2" t="s">
        <v>111</v>
      </c>
      <c r="E11" s="2" t="s">
        <v>112</v>
      </c>
      <c r="F11" s="2" t="s">
        <v>113</v>
      </c>
      <c r="G11" s="2" t="s">
        <v>114</v>
      </c>
      <c r="H11" s="2" t="s">
        <v>115</v>
      </c>
      <c r="I11" s="2" t="s">
        <v>116</v>
      </c>
      <c r="J11" s="2" t="s">
        <v>117</v>
      </c>
      <c r="K11" s="2" t="s">
        <v>118</v>
      </c>
      <c r="L11" s="1" t="s">
        <v>119</v>
      </c>
      <c r="M11" s="1">
        <v>2018</v>
      </c>
      <c r="N11" s="1">
        <v>2019</v>
      </c>
      <c r="O11" s="1">
        <v>2020</v>
      </c>
      <c r="P11" s="1">
        <v>2021</v>
      </c>
      <c r="Q11" s="1">
        <v>2022</v>
      </c>
      <c r="R11" s="1">
        <v>2023</v>
      </c>
      <c r="S11" s="1">
        <v>2024</v>
      </c>
      <c r="T11" s="1">
        <v>2025</v>
      </c>
      <c r="U11" s="1">
        <v>2026</v>
      </c>
    </row>
    <row r="12" spans="2:21" x14ac:dyDescent="0.35">
      <c r="B12" s="133" t="s">
        <v>161</v>
      </c>
      <c r="C12" s="147">
        <v>100238</v>
      </c>
      <c r="D12" s="147">
        <v>150726</v>
      </c>
      <c r="E12" s="147">
        <v>289910</v>
      </c>
      <c r="F12" s="147">
        <v>391060</v>
      </c>
      <c r="G12" s="147">
        <v>401450</v>
      </c>
      <c r="H12" s="147">
        <v>404319</v>
      </c>
      <c r="I12" s="147">
        <v>379998.60600000003</v>
      </c>
      <c r="J12" s="147">
        <v>452177.61800000002</v>
      </c>
      <c r="K12" s="147">
        <v>440264.53500000003</v>
      </c>
      <c r="L12" s="147">
        <v>106342</v>
      </c>
      <c r="M12" s="148">
        <v>377775</v>
      </c>
      <c r="N12" s="148">
        <v>344447</v>
      </c>
      <c r="O12" s="148">
        <v>442517</v>
      </c>
      <c r="P12" s="148">
        <f>'3- Energy'!D31</f>
        <v>451995</v>
      </c>
      <c r="Q12" s="148">
        <f>'3- Energy'!E33</f>
        <v>446827</v>
      </c>
      <c r="R12" s="148">
        <v>442609</v>
      </c>
      <c r="S12" s="148">
        <v>438825</v>
      </c>
      <c r="T12" s="148">
        <v>408411</v>
      </c>
      <c r="U12" s="148">
        <f>'1- Ex Ante Results'!C82</f>
        <v>75248</v>
      </c>
    </row>
    <row r="13" spans="2:21" x14ac:dyDescent="0.35">
      <c r="B13" s="133" t="s">
        <v>162</v>
      </c>
      <c r="C13" s="147">
        <v>70883</v>
      </c>
      <c r="D13" s="147">
        <v>106586</v>
      </c>
      <c r="E13" s="147">
        <v>205010</v>
      </c>
      <c r="F13" s="147">
        <v>276538</v>
      </c>
      <c r="G13" s="147">
        <v>283886</v>
      </c>
      <c r="H13" s="147">
        <v>285915</v>
      </c>
      <c r="I13" s="147">
        <v>268717</v>
      </c>
      <c r="J13" s="147">
        <v>306361</v>
      </c>
      <c r="K13" s="147">
        <v>282549</v>
      </c>
      <c r="L13" s="147">
        <v>75200</v>
      </c>
      <c r="M13" s="148">
        <v>267144</v>
      </c>
      <c r="N13" s="148">
        <v>243538</v>
      </c>
      <c r="O13" s="148">
        <v>313509</v>
      </c>
      <c r="P13" s="148">
        <v>312893</v>
      </c>
      <c r="Q13" s="148">
        <v>318113</v>
      </c>
      <c r="R13" s="148">
        <v>313669</v>
      </c>
      <c r="S13" s="148">
        <v>294825</v>
      </c>
      <c r="T13" s="148">
        <v>274391</v>
      </c>
      <c r="U13" s="148">
        <v>50555</v>
      </c>
    </row>
    <row r="14" spans="2:21" x14ac:dyDescent="0.35">
      <c r="B14" s="133" t="s">
        <v>163</v>
      </c>
      <c r="C14" s="147">
        <v>15050</v>
      </c>
      <c r="D14" s="147">
        <v>22630</v>
      </c>
      <c r="E14" s="147">
        <v>43527</v>
      </c>
      <c r="F14" s="147">
        <v>58713</v>
      </c>
      <c r="G14" s="147">
        <v>60273</v>
      </c>
      <c r="H14" s="147">
        <v>60704</v>
      </c>
      <c r="I14" s="147">
        <v>57052</v>
      </c>
      <c r="J14" s="147">
        <v>65045</v>
      </c>
      <c r="K14" s="147">
        <v>59989</v>
      </c>
      <c r="L14" s="147">
        <v>15966</v>
      </c>
      <c r="M14" s="148">
        <v>56718</v>
      </c>
      <c r="N14" s="148">
        <v>52615</v>
      </c>
      <c r="O14" s="148">
        <v>68182</v>
      </c>
      <c r="P14" s="148">
        <v>68048</v>
      </c>
      <c r="Q14" s="148">
        <v>68543</v>
      </c>
      <c r="R14" s="148">
        <v>69801</v>
      </c>
      <c r="S14" s="148">
        <v>68769</v>
      </c>
      <c r="T14" s="148">
        <v>64003</v>
      </c>
      <c r="U14" s="148">
        <v>11792</v>
      </c>
    </row>
    <row r="15" spans="2:21" x14ac:dyDescent="0.35">
      <c r="B15" s="133" t="s">
        <v>164</v>
      </c>
      <c r="C15" s="147">
        <v>83424</v>
      </c>
      <c r="D15" s="147">
        <v>125443</v>
      </c>
      <c r="E15" s="147">
        <v>241281</v>
      </c>
      <c r="F15" s="147">
        <v>325464</v>
      </c>
      <c r="G15" s="147">
        <v>334111</v>
      </c>
      <c r="H15" s="147">
        <v>336499</v>
      </c>
      <c r="I15" s="147">
        <v>316259</v>
      </c>
      <c r="J15" s="147">
        <v>360563</v>
      </c>
      <c r="K15" s="147">
        <v>332538</v>
      </c>
      <c r="L15" s="147">
        <v>88504</v>
      </c>
      <c r="M15" s="148">
        <v>314408</v>
      </c>
      <c r="N15" s="148">
        <v>318049</v>
      </c>
      <c r="O15" s="148">
        <v>384104</v>
      </c>
      <c r="P15" s="148">
        <v>383350</v>
      </c>
      <c r="Q15" s="148">
        <v>376466</v>
      </c>
      <c r="R15" s="148">
        <v>374056</v>
      </c>
      <c r="S15" s="148">
        <v>295727</v>
      </c>
      <c r="T15" s="148">
        <v>275231</v>
      </c>
      <c r="U15" s="148">
        <v>50710</v>
      </c>
    </row>
    <row r="16" spans="2:21" x14ac:dyDescent="0.35">
      <c r="B16" s="133" t="s">
        <v>165</v>
      </c>
      <c r="C16" s="147">
        <v>8488</v>
      </c>
      <c r="D16" s="147">
        <v>12763</v>
      </c>
      <c r="E16" s="147">
        <v>24549</v>
      </c>
      <c r="F16" s="147">
        <v>33114</v>
      </c>
      <c r="G16" s="147">
        <v>33994</v>
      </c>
      <c r="H16" s="147">
        <v>34237</v>
      </c>
      <c r="I16" s="147">
        <v>32178</v>
      </c>
      <c r="J16" s="147">
        <v>36686</v>
      </c>
      <c r="K16" s="147">
        <v>33834</v>
      </c>
      <c r="L16" s="147">
        <v>9005</v>
      </c>
      <c r="M16" s="148">
        <v>31989</v>
      </c>
      <c r="N16" s="148">
        <v>28103</v>
      </c>
      <c r="O16" s="148">
        <v>37754</v>
      </c>
      <c r="P16" s="148">
        <v>37680</v>
      </c>
      <c r="Q16" s="148">
        <v>40070</v>
      </c>
      <c r="R16" s="148">
        <v>39533</v>
      </c>
      <c r="S16" s="148">
        <v>39594</v>
      </c>
      <c r="T16" s="148">
        <v>36850</v>
      </c>
      <c r="U16" s="148">
        <v>6789</v>
      </c>
    </row>
    <row r="17" spans="2:21" x14ac:dyDescent="0.35">
      <c r="B17" s="134" t="s">
        <v>166</v>
      </c>
      <c r="C17" s="147" t="s">
        <v>167</v>
      </c>
      <c r="D17" s="147" t="s">
        <v>167</v>
      </c>
      <c r="E17" s="147" t="s">
        <v>167</v>
      </c>
      <c r="F17" s="147" t="s">
        <v>167</v>
      </c>
      <c r="G17" s="147" t="s">
        <v>167</v>
      </c>
      <c r="H17" s="147" t="s">
        <v>167</v>
      </c>
      <c r="I17" s="147" t="s">
        <v>167</v>
      </c>
      <c r="J17" s="147" t="s">
        <v>167</v>
      </c>
      <c r="K17" s="147" t="s">
        <v>167</v>
      </c>
      <c r="L17" s="147" t="s">
        <v>167</v>
      </c>
      <c r="M17" s="149" t="s">
        <v>167</v>
      </c>
      <c r="N17" s="149" t="s">
        <v>168</v>
      </c>
      <c r="O17" s="149" t="s">
        <v>168</v>
      </c>
      <c r="P17" s="149" t="s">
        <v>168</v>
      </c>
      <c r="Q17" s="149" t="s">
        <v>168</v>
      </c>
      <c r="R17" s="149" t="s">
        <v>168</v>
      </c>
      <c r="S17" s="149" t="s">
        <v>168</v>
      </c>
      <c r="T17" s="149" t="s">
        <v>168</v>
      </c>
      <c r="U17" s="149" t="s">
        <v>168</v>
      </c>
    </row>
    <row r="18" spans="2:21" s="48" customFormat="1" x14ac:dyDescent="0.35">
      <c r="B18" s="112" t="s">
        <v>169</v>
      </c>
      <c r="C18" s="150" t="s">
        <v>167</v>
      </c>
      <c r="D18" s="150" t="s">
        <v>167</v>
      </c>
      <c r="E18" s="150" t="s">
        <v>167</v>
      </c>
      <c r="F18" s="150" t="s">
        <v>167</v>
      </c>
      <c r="G18" s="150" t="s">
        <v>167</v>
      </c>
      <c r="H18" s="150" t="s">
        <v>167</v>
      </c>
      <c r="I18" s="150" t="s">
        <v>167</v>
      </c>
      <c r="J18" s="150" t="s">
        <v>167</v>
      </c>
      <c r="K18" s="150" t="s">
        <v>167</v>
      </c>
      <c r="L18" s="147" t="s">
        <v>167</v>
      </c>
      <c r="M18" s="149" t="s">
        <v>167</v>
      </c>
      <c r="N18" s="149" t="s">
        <v>168</v>
      </c>
      <c r="O18" s="149" t="s">
        <v>168</v>
      </c>
      <c r="P18" s="149" t="s">
        <v>168</v>
      </c>
      <c r="Q18" s="149" t="s">
        <v>168</v>
      </c>
      <c r="R18" s="149" t="s">
        <v>168</v>
      </c>
      <c r="S18" s="149" t="s">
        <v>168</v>
      </c>
      <c r="T18" s="149" t="s">
        <v>168</v>
      </c>
      <c r="U18" s="149" t="s">
        <v>168</v>
      </c>
    </row>
    <row r="19" spans="2:21" s="48" customFormat="1" x14ac:dyDescent="0.35">
      <c r="B19" s="144"/>
      <c r="C19" s="145"/>
      <c r="D19" s="145"/>
      <c r="E19" s="145"/>
      <c r="F19" s="145"/>
      <c r="G19" s="145"/>
      <c r="H19" s="145"/>
      <c r="I19" s="145"/>
      <c r="J19" s="145"/>
      <c r="K19" s="145"/>
      <c r="L19" s="146"/>
    </row>
    <row r="20" spans="2:21" s="48" customFormat="1" ht="28" x14ac:dyDescent="0.35">
      <c r="B20" s="3" t="s">
        <v>170</v>
      </c>
      <c r="C20" s="2" t="s">
        <v>110</v>
      </c>
      <c r="D20" s="2" t="s">
        <v>111</v>
      </c>
      <c r="E20" s="2" t="s">
        <v>112</v>
      </c>
      <c r="F20" s="2" t="s">
        <v>113</v>
      </c>
      <c r="G20" s="2" t="s">
        <v>114</v>
      </c>
      <c r="H20" s="2" t="s">
        <v>115</v>
      </c>
      <c r="I20" s="2" t="s">
        <v>116</v>
      </c>
      <c r="J20" s="2" t="s">
        <v>117</v>
      </c>
      <c r="K20" s="2" t="s">
        <v>118</v>
      </c>
      <c r="L20" s="1" t="s">
        <v>119</v>
      </c>
      <c r="M20" s="1">
        <v>2018</v>
      </c>
      <c r="N20" s="1">
        <v>2019</v>
      </c>
      <c r="O20" s="1">
        <v>2020</v>
      </c>
      <c r="P20" s="1">
        <v>2021</v>
      </c>
      <c r="Q20" s="1">
        <v>2022</v>
      </c>
      <c r="R20" s="1">
        <v>2023</v>
      </c>
      <c r="S20" s="1">
        <v>2024</v>
      </c>
      <c r="T20" s="1">
        <v>2025</v>
      </c>
      <c r="U20" s="1">
        <v>2026</v>
      </c>
    </row>
    <row r="21" spans="2:21" s="48" customFormat="1" x14ac:dyDescent="0.35">
      <c r="B21" s="133" t="s">
        <v>161</v>
      </c>
      <c r="C21" s="147">
        <v>35193</v>
      </c>
      <c r="D21" s="147">
        <v>1903686</v>
      </c>
      <c r="E21" s="147">
        <v>2053110</v>
      </c>
      <c r="F21" s="147">
        <v>6929629</v>
      </c>
      <c r="G21" s="147">
        <v>8750918</v>
      </c>
      <c r="H21" s="147">
        <v>8516632</v>
      </c>
      <c r="I21" s="147">
        <v>7340016</v>
      </c>
      <c r="J21" s="147">
        <v>7487454</v>
      </c>
      <c r="K21" s="147">
        <v>7536415</v>
      </c>
      <c r="L21" s="147">
        <v>3263453</v>
      </c>
      <c r="M21" s="148">
        <v>7353769</v>
      </c>
      <c r="N21" s="148">
        <v>4188155</v>
      </c>
      <c r="O21" s="148">
        <v>4296545</v>
      </c>
      <c r="P21" s="148">
        <v>3407122</v>
      </c>
      <c r="Q21" s="148">
        <v>4137643.38466</v>
      </c>
      <c r="R21" s="148">
        <v>4010582</v>
      </c>
      <c r="S21" s="148">
        <v>5552401</v>
      </c>
      <c r="T21" s="148">
        <v>3702202</v>
      </c>
      <c r="U21" s="148">
        <f>'1- Ex Ante Results'!H82</f>
        <v>909605</v>
      </c>
    </row>
    <row r="22" spans="2:21" s="48" customFormat="1" x14ac:dyDescent="0.35">
      <c r="B22" s="133" t="s">
        <v>162</v>
      </c>
      <c r="C22" s="147">
        <v>187</v>
      </c>
      <c r="D22" s="147">
        <v>10093</v>
      </c>
      <c r="E22" s="147">
        <v>10886</v>
      </c>
      <c r="F22" s="147">
        <v>36741</v>
      </c>
      <c r="G22" s="147">
        <v>46397</v>
      </c>
      <c r="H22" s="147">
        <v>45155</v>
      </c>
      <c r="I22" s="147">
        <v>38917</v>
      </c>
      <c r="J22" s="147">
        <v>39616</v>
      </c>
      <c r="K22" s="147">
        <v>39875</v>
      </c>
      <c r="L22" s="147">
        <v>17303</v>
      </c>
      <c r="M22" s="148">
        <v>38990</v>
      </c>
      <c r="N22" s="148">
        <v>22160</v>
      </c>
      <c r="O22" s="148">
        <v>22735</v>
      </c>
      <c r="P22" s="148">
        <v>18229</v>
      </c>
      <c r="Q22" s="148">
        <v>21892</v>
      </c>
      <c r="R22" s="211">
        <v>21220</v>
      </c>
      <c r="S22" s="211">
        <v>29378</v>
      </c>
      <c r="T22" s="211">
        <v>19588</v>
      </c>
      <c r="U22" s="211">
        <v>4813</v>
      </c>
    </row>
    <row r="23" spans="2:21" s="48" customFormat="1" x14ac:dyDescent="0.35">
      <c r="B23" s="133" t="s">
        <v>163</v>
      </c>
      <c r="C23" s="147">
        <v>39.6</v>
      </c>
      <c r="D23" s="147">
        <v>2143</v>
      </c>
      <c r="E23" s="147">
        <v>2331</v>
      </c>
      <c r="F23" s="147">
        <v>7801</v>
      </c>
      <c r="G23" s="147">
        <v>9851</v>
      </c>
      <c r="H23" s="147">
        <v>9587</v>
      </c>
      <c r="I23" s="147">
        <v>8263</v>
      </c>
      <c r="J23" s="147">
        <v>8411</v>
      </c>
      <c r="K23" s="147">
        <v>8466</v>
      </c>
      <c r="L23" s="147">
        <v>3674</v>
      </c>
      <c r="M23" s="148">
        <v>8278</v>
      </c>
      <c r="N23" s="148">
        <v>4787</v>
      </c>
      <c r="O23" s="148">
        <v>4944</v>
      </c>
      <c r="P23" s="148">
        <v>3964</v>
      </c>
      <c r="Q23" s="148">
        <v>4717</v>
      </c>
      <c r="R23" s="211">
        <v>4722</v>
      </c>
      <c r="S23" s="211">
        <v>25945</v>
      </c>
      <c r="T23" s="211">
        <v>4569</v>
      </c>
      <c r="U23" s="211">
        <v>1123</v>
      </c>
    </row>
    <row r="24" spans="2:21" s="48" customFormat="1" x14ac:dyDescent="0.35">
      <c r="B24" s="133" t="s">
        <v>164</v>
      </c>
      <c r="C24" s="147">
        <v>220</v>
      </c>
      <c r="D24" s="147">
        <v>11879</v>
      </c>
      <c r="E24" s="147">
        <v>12811</v>
      </c>
      <c r="F24" s="147">
        <v>43241</v>
      </c>
      <c r="G24" s="147">
        <v>54606</v>
      </c>
      <c r="H24" s="147">
        <v>53144</v>
      </c>
      <c r="I24" s="147">
        <v>45802</v>
      </c>
      <c r="J24" s="147">
        <v>51737</v>
      </c>
      <c r="K24" s="147">
        <v>52075</v>
      </c>
      <c r="L24" s="147">
        <v>20364</v>
      </c>
      <c r="M24" s="148">
        <v>45888</v>
      </c>
      <c r="N24" s="148">
        <v>28939</v>
      </c>
      <c r="O24" s="148">
        <v>27855</v>
      </c>
      <c r="P24" s="148">
        <v>22334</v>
      </c>
      <c r="Q24" s="148">
        <v>25908</v>
      </c>
      <c r="R24" s="211">
        <v>25305</v>
      </c>
      <c r="S24" s="211">
        <v>29468</v>
      </c>
      <c r="T24" s="211">
        <v>19648</v>
      </c>
      <c r="U24" s="211">
        <v>4827</v>
      </c>
    </row>
    <row r="25" spans="2:21" s="48" customFormat="1" x14ac:dyDescent="0.35">
      <c r="B25" s="133" t="s">
        <v>165</v>
      </c>
      <c r="C25" s="147">
        <v>22.3</v>
      </c>
      <c r="D25" s="147">
        <v>1209</v>
      </c>
      <c r="E25" s="147">
        <v>1304</v>
      </c>
      <c r="F25" s="147">
        <v>4400</v>
      </c>
      <c r="G25" s="147">
        <v>5556</v>
      </c>
      <c r="H25" s="147">
        <v>5407</v>
      </c>
      <c r="I25" s="147">
        <v>4660</v>
      </c>
      <c r="J25" s="147">
        <v>4571</v>
      </c>
      <c r="K25" s="147">
        <v>4601</v>
      </c>
      <c r="L25" s="147">
        <v>2072</v>
      </c>
      <c r="M25" s="148">
        <v>4669</v>
      </c>
      <c r="N25" s="148">
        <v>2557</v>
      </c>
      <c r="O25" s="148">
        <v>2738</v>
      </c>
      <c r="P25" s="148">
        <v>2195</v>
      </c>
      <c r="Q25" s="148">
        <v>2758</v>
      </c>
      <c r="R25" s="211">
        <v>2674</v>
      </c>
      <c r="S25" s="211">
        <v>3945</v>
      </c>
      <c r="T25" s="211">
        <v>2631</v>
      </c>
      <c r="U25" s="211">
        <v>646</v>
      </c>
    </row>
    <row r="26" spans="2:21" s="48" customFormat="1" x14ac:dyDescent="0.35">
      <c r="B26" s="134" t="s">
        <v>166</v>
      </c>
      <c r="C26" s="147" t="s">
        <v>167</v>
      </c>
      <c r="D26" s="147" t="s">
        <v>167</v>
      </c>
      <c r="E26" s="147" t="s">
        <v>167</v>
      </c>
      <c r="F26" s="147" t="s">
        <v>167</v>
      </c>
      <c r="G26" s="147" t="s">
        <v>167</v>
      </c>
      <c r="H26" s="147" t="s">
        <v>167</v>
      </c>
      <c r="I26" s="147" t="s">
        <v>167</v>
      </c>
      <c r="J26" s="147" t="s">
        <v>167</v>
      </c>
      <c r="K26" s="147" t="s">
        <v>167</v>
      </c>
      <c r="L26" s="147" t="s">
        <v>167</v>
      </c>
      <c r="M26" s="149" t="s">
        <v>167</v>
      </c>
      <c r="N26" s="149" t="s">
        <v>168</v>
      </c>
      <c r="O26" s="149" t="s">
        <v>168</v>
      </c>
      <c r="P26" s="149" t="s">
        <v>168</v>
      </c>
      <c r="Q26" s="149" t="s">
        <v>168</v>
      </c>
      <c r="R26" s="149" t="s">
        <v>168</v>
      </c>
      <c r="S26" s="149" t="s">
        <v>168</v>
      </c>
      <c r="T26" s="149" t="s">
        <v>168</v>
      </c>
      <c r="U26" s="149" t="s">
        <v>168</v>
      </c>
    </row>
    <row r="27" spans="2:21" s="48" customFormat="1" x14ac:dyDescent="0.35">
      <c r="B27" s="112" t="s">
        <v>169</v>
      </c>
      <c r="C27" s="150" t="s">
        <v>167</v>
      </c>
      <c r="D27" s="150" t="s">
        <v>167</v>
      </c>
      <c r="E27" s="150" t="s">
        <v>167</v>
      </c>
      <c r="F27" s="150" t="s">
        <v>167</v>
      </c>
      <c r="G27" s="150" t="s">
        <v>167</v>
      </c>
      <c r="H27" s="150" t="s">
        <v>167</v>
      </c>
      <c r="I27" s="150" t="s">
        <v>167</v>
      </c>
      <c r="J27" s="150" t="s">
        <v>167</v>
      </c>
      <c r="K27" s="150" t="s">
        <v>167</v>
      </c>
      <c r="L27" s="147" t="s">
        <v>167</v>
      </c>
      <c r="M27" s="149" t="s">
        <v>167</v>
      </c>
      <c r="N27" s="149" t="s">
        <v>168</v>
      </c>
      <c r="O27" s="149" t="s">
        <v>168</v>
      </c>
      <c r="P27" s="149" t="s">
        <v>168</v>
      </c>
      <c r="Q27" s="149" t="s">
        <v>168</v>
      </c>
      <c r="R27" s="149" t="s">
        <v>168</v>
      </c>
      <c r="S27" s="149" t="s">
        <v>168</v>
      </c>
      <c r="T27" s="149" t="s">
        <v>168</v>
      </c>
      <c r="U27" s="149" t="s">
        <v>168</v>
      </c>
    </row>
    <row r="28" spans="2:21" s="48" customFormat="1" x14ac:dyDescent="0.35">
      <c r="B28" s="144"/>
      <c r="C28" s="145"/>
      <c r="D28" s="145"/>
      <c r="E28" s="145"/>
      <c r="F28" s="145"/>
      <c r="G28" s="145"/>
      <c r="H28" s="145"/>
      <c r="I28" s="145"/>
      <c r="J28" s="145"/>
      <c r="K28" s="145"/>
      <c r="L28" s="146"/>
    </row>
    <row r="29" spans="2:21" s="48" customFormat="1" ht="28" x14ac:dyDescent="0.35">
      <c r="B29" s="3" t="s">
        <v>171</v>
      </c>
      <c r="C29" s="2" t="s">
        <v>110</v>
      </c>
      <c r="D29" s="2" t="s">
        <v>111</v>
      </c>
      <c r="E29" s="2" t="s">
        <v>112</v>
      </c>
      <c r="F29" s="2" t="s">
        <v>113</v>
      </c>
      <c r="G29" s="2" t="s">
        <v>114</v>
      </c>
      <c r="H29" s="2" t="s">
        <v>115</v>
      </c>
      <c r="I29" s="2" t="s">
        <v>116</v>
      </c>
      <c r="J29" s="2" t="s">
        <v>117</v>
      </c>
      <c r="K29" s="2" t="s">
        <v>118</v>
      </c>
      <c r="L29" s="1" t="s">
        <v>119</v>
      </c>
      <c r="M29" s="1">
        <v>2018</v>
      </c>
      <c r="N29" s="1">
        <v>2019</v>
      </c>
      <c r="O29" s="1">
        <v>2020</v>
      </c>
      <c r="P29" s="1">
        <v>2021</v>
      </c>
      <c r="Q29" s="1">
        <v>2022</v>
      </c>
      <c r="R29" s="1">
        <v>2023</v>
      </c>
      <c r="S29" s="1">
        <v>2024</v>
      </c>
      <c r="T29" s="1">
        <v>2025</v>
      </c>
      <c r="U29" s="1">
        <v>2026</v>
      </c>
    </row>
    <row r="30" spans="2:21" s="48" customFormat="1" x14ac:dyDescent="0.25">
      <c r="B30" s="133" t="s">
        <v>162</v>
      </c>
      <c r="C30" s="147">
        <f>SUM(C13,C22)</f>
        <v>71070</v>
      </c>
      <c r="D30" s="147">
        <f t="shared" ref="D30:P30" si="0">SUM(D13,D22)</f>
        <v>116679</v>
      </c>
      <c r="E30" s="147">
        <f t="shared" si="0"/>
        <v>215896</v>
      </c>
      <c r="F30" s="147">
        <f t="shared" si="0"/>
        <v>313279</v>
      </c>
      <c r="G30" s="147">
        <f t="shared" si="0"/>
        <v>330283</v>
      </c>
      <c r="H30" s="147">
        <f t="shared" si="0"/>
        <v>331070</v>
      </c>
      <c r="I30" s="147">
        <f t="shared" si="0"/>
        <v>307634</v>
      </c>
      <c r="J30" s="147">
        <f t="shared" si="0"/>
        <v>345977</v>
      </c>
      <c r="K30" s="147">
        <f t="shared" si="0"/>
        <v>322424</v>
      </c>
      <c r="L30" s="147">
        <f t="shared" si="0"/>
        <v>92503</v>
      </c>
      <c r="M30" s="147">
        <f t="shared" si="0"/>
        <v>306134</v>
      </c>
      <c r="N30" s="147">
        <f t="shared" si="0"/>
        <v>265698</v>
      </c>
      <c r="O30" s="147">
        <f t="shared" si="0"/>
        <v>336244</v>
      </c>
      <c r="P30" s="147">
        <f t="shared" si="0"/>
        <v>331122</v>
      </c>
      <c r="Q30" s="147">
        <f t="shared" ref="Q30" si="1">SUM(Q13,Q22)</f>
        <v>340005</v>
      </c>
      <c r="R30" s="147">
        <f>SUM(R13,R22)</f>
        <v>334889</v>
      </c>
      <c r="S30" s="147">
        <f>SUM(S13,S22)</f>
        <v>324203</v>
      </c>
      <c r="T30" s="147">
        <f>SUM(T13,T22)</f>
        <v>293979</v>
      </c>
      <c r="U30" s="147">
        <f>SUM(U13,U22)</f>
        <v>55368</v>
      </c>
    </row>
    <row r="31" spans="2:21" s="48" customFormat="1" x14ac:dyDescent="0.25">
      <c r="B31" s="133" t="s">
        <v>163</v>
      </c>
      <c r="C31" s="147">
        <f t="shared" ref="C31:P33" si="2">SUM(C14,C23)</f>
        <v>15089.6</v>
      </c>
      <c r="D31" s="147">
        <f t="shared" si="2"/>
        <v>24773</v>
      </c>
      <c r="E31" s="147">
        <f t="shared" si="2"/>
        <v>45858</v>
      </c>
      <c r="F31" s="147">
        <f t="shared" si="2"/>
        <v>66514</v>
      </c>
      <c r="G31" s="147">
        <f t="shared" si="2"/>
        <v>70124</v>
      </c>
      <c r="H31" s="147">
        <f t="shared" si="2"/>
        <v>70291</v>
      </c>
      <c r="I31" s="147">
        <f t="shared" si="2"/>
        <v>65315</v>
      </c>
      <c r="J31" s="147">
        <f t="shared" si="2"/>
        <v>73456</v>
      </c>
      <c r="K31" s="147">
        <f t="shared" si="2"/>
        <v>68455</v>
      </c>
      <c r="L31" s="147">
        <f t="shared" si="2"/>
        <v>19640</v>
      </c>
      <c r="M31" s="147">
        <f t="shared" si="2"/>
        <v>64996</v>
      </c>
      <c r="N31" s="147">
        <f t="shared" si="2"/>
        <v>57402</v>
      </c>
      <c r="O31" s="147">
        <f t="shared" si="2"/>
        <v>73126</v>
      </c>
      <c r="P31" s="147">
        <f t="shared" si="2"/>
        <v>72012</v>
      </c>
      <c r="Q31" s="147">
        <f t="shared" ref="Q31" si="3">SUM(Q14,Q23)</f>
        <v>73260</v>
      </c>
      <c r="R31" s="147">
        <f t="shared" ref="R31:S31" si="4">SUM(R14,R23)</f>
        <v>74523</v>
      </c>
      <c r="S31" s="147">
        <f t="shared" si="4"/>
        <v>94714</v>
      </c>
      <c r="T31" s="147">
        <f t="shared" ref="T31:U31" si="5">SUM(T14,T23)</f>
        <v>68572</v>
      </c>
      <c r="U31" s="147">
        <f t="shared" si="5"/>
        <v>12915</v>
      </c>
    </row>
    <row r="32" spans="2:21" s="48" customFormat="1" x14ac:dyDescent="0.25">
      <c r="B32" s="133" t="s">
        <v>164</v>
      </c>
      <c r="C32" s="147">
        <f t="shared" si="2"/>
        <v>83644</v>
      </c>
      <c r="D32" s="147">
        <f t="shared" si="2"/>
        <v>137322</v>
      </c>
      <c r="E32" s="147">
        <f t="shared" si="2"/>
        <v>254092</v>
      </c>
      <c r="F32" s="147">
        <f t="shared" si="2"/>
        <v>368705</v>
      </c>
      <c r="G32" s="147">
        <f t="shared" si="2"/>
        <v>388717</v>
      </c>
      <c r="H32" s="147">
        <f t="shared" si="2"/>
        <v>389643</v>
      </c>
      <c r="I32" s="147">
        <f t="shared" si="2"/>
        <v>362061</v>
      </c>
      <c r="J32" s="147">
        <f t="shared" si="2"/>
        <v>412300</v>
      </c>
      <c r="K32" s="147">
        <f t="shared" si="2"/>
        <v>384613</v>
      </c>
      <c r="L32" s="147">
        <f t="shared" si="2"/>
        <v>108868</v>
      </c>
      <c r="M32" s="147">
        <f t="shared" si="2"/>
        <v>360296</v>
      </c>
      <c r="N32" s="147">
        <f t="shared" si="2"/>
        <v>346988</v>
      </c>
      <c r="O32" s="147">
        <f t="shared" si="2"/>
        <v>411959</v>
      </c>
      <c r="P32" s="147">
        <f t="shared" si="2"/>
        <v>405684</v>
      </c>
      <c r="Q32" s="147">
        <f t="shared" ref="Q32" si="6">SUM(Q15,Q24)</f>
        <v>402374</v>
      </c>
      <c r="R32" s="147">
        <f t="shared" ref="R32:S32" si="7">SUM(R15,R24)</f>
        <v>399361</v>
      </c>
      <c r="S32" s="147">
        <f t="shared" si="7"/>
        <v>325195</v>
      </c>
      <c r="T32" s="147">
        <f t="shared" ref="T32:U32" si="8">SUM(T15,T24)</f>
        <v>294879</v>
      </c>
      <c r="U32" s="147">
        <f t="shared" si="8"/>
        <v>55537</v>
      </c>
    </row>
    <row r="33" spans="2:21" s="48" customFormat="1" x14ac:dyDescent="0.25">
      <c r="B33" s="133" t="s">
        <v>165</v>
      </c>
      <c r="C33" s="147">
        <f t="shared" si="2"/>
        <v>8510.2999999999993</v>
      </c>
      <c r="D33" s="147">
        <f t="shared" si="2"/>
        <v>13972</v>
      </c>
      <c r="E33" s="147">
        <f t="shared" si="2"/>
        <v>25853</v>
      </c>
      <c r="F33" s="147">
        <f t="shared" si="2"/>
        <v>37514</v>
      </c>
      <c r="G33" s="147">
        <f t="shared" si="2"/>
        <v>39550</v>
      </c>
      <c r="H33" s="147">
        <f t="shared" si="2"/>
        <v>39644</v>
      </c>
      <c r="I33" s="147">
        <f t="shared" si="2"/>
        <v>36838</v>
      </c>
      <c r="J33" s="147">
        <f t="shared" si="2"/>
        <v>41257</v>
      </c>
      <c r="K33" s="147">
        <f t="shared" si="2"/>
        <v>38435</v>
      </c>
      <c r="L33" s="147">
        <f t="shared" si="2"/>
        <v>11077</v>
      </c>
      <c r="M33" s="147">
        <f t="shared" si="2"/>
        <v>36658</v>
      </c>
      <c r="N33" s="147">
        <f t="shared" si="2"/>
        <v>30660</v>
      </c>
      <c r="O33" s="147">
        <f t="shared" si="2"/>
        <v>40492</v>
      </c>
      <c r="P33" s="147">
        <f t="shared" si="2"/>
        <v>39875</v>
      </c>
      <c r="Q33" s="147">
        <f t="shared" ref="Q33" si="9">SUM(Q16,Q25)</f>
        <v>42828</v>
      </c>
      <c r="R33" s="147">
        <f t="shared" ref="R33:S33" si="10">SUM(R16,R25)</f>
        <v>42207</v>
      </c>
      <c r="S33" s="147">
        <f t="shared" si="10"/>
        <v>43539</v>
      </c>
      <c r="T33" s="147">
        <f t="shared" ref="T33:U33" si="11">SUM(T16,T25)</f>
        <v>39481</v>
      </c>
      <c r="U33" s="147">
        <f t="shared" si="11"/>
        <v>7435</v>
      </c>
    </row>
    <row r="34" spans="2:21" s="48" customFormat="1" x14ac:dyDescent="0.25">
      <c r="B34" s="134" t="s">
        <v>166</v>
      </c>
      <c r="C34" s="147" t="s">
        <v>167</v>
      </c>
      <c r="D34" s="147" t="s">
        <v>167</v>
      </c>
      <c r="E34" s="147" t="s">
        <v>167</v>
      </c>
      <c r="F34" s="147" t="s">
        <v>167</v>
      </c>
      <c r="G34" s="147" t="s">
        <v>167</v>
      </c>
      <c r="H34" s="147" t="s">
        <v>167</v>
      </c>
      <c r="I34" s="147" t="s">
        <v>167</v>
      </c>
      <c r="J34" s="147" t="s">
        <v>167</v>
      </c>
      <c r="K34" s="147" t="s">
        <v>167</v>
      </c>
      <c r="L34" s="147" t="s">
        <v>167</v>
      </c>
      <c r="M34" s="147">
        <v>1481</v>
      </c>
      <c r="N34" s="147">
        <v>2955</v>
      </c>
      <c r="O34" s="147">
        <v>4275</v>
      </c>
      <c r="P34" s="147">
        <v>4106</v>
      </c>
      <c r="Q34" s="147">
        <v>3832</v>
      </c>
      <c r="R34" s="147">
        <v>3535</v>
      </c>
      <c r="S34" s="147">
        <v>3750</v>
      </c>
      <c r="T34" s="147">
        <v>4075</v>
      </c>
      <c r="U34" s="147" t="s">
        <v>167</v>
      </c>
    </row>
    <row r="35" spans="2:21" s="48" customFormat="1" x14ac:dyDescent="0.25">
      <c r="B35" s="112" t="s">
        <v>169</v>
      </c>
      <c r="C35" s="147" t="s">
        <v>167</v>
      </c>
      <c r="D35" s="147" t="s">
        <v>167</v>
      </c>
      <c r="E35" s="147" t="s">
        <v>167</v>
      </c>
      <c r="F35" s="147" t="s">
        <v>167</v>
      </c>
      <c r="G35" s="147" t="s">
        <v>167</v>
      </c>
      <c r="H35" s="147" t="s">
        <v>167</v>
      </c>
      <c r="I35" s="147" t="s">
        <v>167</v>
      </c>
      <c r="J35" s="147" t="s">
        <v>167</v>
      </c>
      <c r="K35" s="147" t="s">
        <v>167</v>
      </c>
      <c r="L35" s="147" t="s">
        <v>167</v>
      </c>
      <c r="M35" s="147" t="s">
        <v>167</v>
      </c>
      <c r="N35" s="147" t="s">
        <v>167</v>
      </c>
      <c r="O35" s="147">
        <v>40330</v>
      </c>
      <c r="P35" s="147">
        <v>45844</v>
      </c>
      <c r="Q35" s="205">
        <v>31564</v>
      </c>
      <c r="R35" s="147">
        <v>35320</v>
      </c>
      <c r="S35" s="238">
        <v>45253</v>
      </c>
      <c r="T35" s="370">
        <v>37810</v>
      </c>
      <c r="U35" s="370">
        <v>1752</v>
      </c>
    </row>
    <row r="36" spans="2:21" x14ac:dyDescent="0.35">
      <c r="B36" s="135"/>
      <c r="C36" s="136"/>
      <c r="D36" s="136"/>
      <c r="E36" s="136"/>
      <c r="F36" s="136"/>
      <c r="G36" s="137"/>
      <c r="H36" s="137"/>
      <c r="I36" s="137"/>
      <c r="J36" s="136"/>
      <c r="K36" s="136"/>
      <c r="L36" s="138"/>
    </row>
    <row r="37" spans="2:21" x14ac:dyDescent="0.35">
      <c r="B37" s="120" t="s">
        <v>66</v>
      </c>
      <c r="C37" s="135"/>
      <c r="D37" s="120"/>
      <c r="E37" s="120"/>
      <c r="F37" s="139"/>
      <c r="G37" s="140"/>
      <c r="H37" s="140"/>
      <c r="I37" s="140"/>
      <c r="J37" s="139"/>
      <c r="K37" s="139"/>
      <c r="L37" s="141"/>
    </row>
    <row r="38" spans="2:21" ht="29.5" customHeight="1" x14ac:dyDescent="0.35">
      <c r="B38" s="427" t="s">
        <v>172</v>
      </c>
      <c r="C38" s="428"/>
      <c r="D38" s="428"/>
      <c r="E38" s="428"/>
      <c r="F38" s="428"/>
      <c r="G38" s="428"/>
      <c r="H38" s="428"/>
      <c r="I38" s="428"/>
      <c r="J38" s="428"/>
      <c r="K38" s="428"/>
      <c r="L38" s="429"/>
    </row>
    <row r="39" spans="2:21" ht="27.75" customHeight="1" x14ac:dyDescent="0.35">
      <c r="B39" s="427" t="s">
        <v>173</v>
      </c>
      <c r="C39" s="428"/>
      <c r="D39" s="428"/>
      <c r="E39" s="428"/>
      <c r="F39" s="428"/>
      <c r="G39" s="428"/>
      <c r="H39" s="428"/>
      <c r="I39" s="428"/>
      <c r="J39" s="428"/>
      <c r="K39" s="428"/>
      <c r="L39" s="429"/>
    </row>
    <row r="40" spans="2:21" ht="33" customHeight="1" x14ac:dyDescent="0.35">
      <c r="B40" s="427" t="s">
        <v>174</v>
      </c>
      <c r="C40" s="428"/>
      <c r="D40" s="428"/>
      <c r="E40" s="428"/>
      <c r="F40" s="428"/>
      <c r="G40" s="428"/>
      <c r="H40" s="428"/>
      <c r="I40" s="428"/>
      <c r="J40" s="428"/>
      <c r="K40" s="428"/>
      <c r="L40" s="429"/>
    </row>
    <row r="41" spans="2:21" ht="44.25" customHeight="1" x14ac:dyDescent="0.35">
      <c r="B41" s="459" t="s">
        <v>175</v>
      </c>
      <c r="C41" s="459"/>
      <c r="D41" s="459"/>
      <c r="E41" s="459"/>
      <c r="F41" s="459"/>
      <c r="G41" s="459"/>
      <c r="H41" s="459"/>
      <c r="I41" s="459"/>
      <c r="J41" s="459"/>
      <c r="K41" s="459"/>
      <c r="L41" s="459"/>
    </row>
    <row r="42" spans="2:21" x14ac:dyDescent="0.35">
      <c r="B42" s="456" t="s">
        <v>176</v>
      </c>
      <c r="C42" s="457"/>
      <c r="D42" s="457"/>
      <c r="E42" s="457"/>
      <c r="F42" s="457"/>
      <c r="G42" s="457"/>
      <c r="H42" s="457"/>
      <c r="I42" s="457"/>
      <c r="J42" s="457"/>
      <c r="K42" s="457"/>
      <c r="L42" s="458"/>
    </row>
    <row r="43" spans="2:21" x14ac:dyDescent="0.35">
      <c r="B43" s="142"/>
      <c r="C43" s="142"/>
      <c r="D43" s="143"/>
      <c r="E43" s="143"/>
      <c r="F43" s="143"/>
      <c r="G43" s="143"/>
      <c r="H43" s="109"/>
      <c r="I43" s="109"/>
      <c r="J43" s="109"/>
      <c r="K43" s="109"/>
      <c r="L43" s="109"/>
    </row>
    <row r="44" spans="2:21" x14ac:dyDescent="0.35">
      <c r="B44" s="109"/>
      <c r="C44" s="109"/>
      <c r="D44" s="109"/>
      <c r="E44" s="109"/>
      <c r="F44" s="109"/>
      <c r="G44" s="109"/>
      <c r="H44" s="109"/>
      <c r="I44" s="109"/>
      <c r="J44" s="109"/>
      <c r="K44" s="109"/>
      <c r="L44" s="109"/>
    </row>
    <row r="45" spans="2:21" x14ac:dyDescent="0.35">
      <c r="B45" s="109"/>
      <c r="C45" s="109"/>
      <c r="D45" s="109"/>
      <c r="E45" s="109"/>
      <c r="F45" s="109"/>
      <c r="G45" s="109"/>
      <c r="H45" s="109"/>
      <c r="I45" s="109"/>
      <c r="J45" s="109"/>
      <c r="K45" s="109"/>
      <c r="L45" s="109"/>
    </row>
    <row r="46" spans="2:21" x14ac:dyDescent="0.35">
      <c r="B46" s="109"/>
      <c r="C46" s="109"/>
      <c r="D46" s="109"/>
      <c r="E46" s="109"/>
      <c r="F46" s="109"/>
      <c r="G46" s="109"/>
      <c r="H46" s="109"/>
      <c r="I46" s="109"/>
      <c r="J46" s="109"/>
      <c r="K46" s="109"/>
      <c r="L46" s="109"/>
    </row>
    <row r="47" spans="2:21" x14ac:dyDescent="0.35">
      <c r="B47" s="109"/>
      <c r="C47" s="109"/>
      <c r="D47" s="109"/>
      <c r="E47" s="109"/>
      <c r="F47" s="109"/>
      <c r="G47" s="109"/>
      <c r="H47" s="109"/>
      <c r="I47" s="109"/>
      <c r="J47" s="109"/>
      <c r="K47" s="109"/>
      <c r="L47" s="109"/>
    </row>
    <row r="48" spans="2:21" x14ac:dyDescent="0.35">
      <c r="B48" s="109"/>
      <c r="C48" s="109"/>
      <c r="D48" s="109"/>
      <c r="E48" s="109"/>
      <c r="F48" s="109"/>
      <c r="G48" s="109"/>
      <c r="H48" s="109"/>
      <c r="I48" s="109"/>
      <c r="J48" s="109"/>
      <c r="K48" s="109"/>
      <c r="L48" s="109"/>
    </row>
  </sheetData>
  <mergeCells count="6">
    <mergeCell ref="B42:L42"/>
    <mergeCell ref="B5:K7"/>
    <mergeCell ref="B39:L39"/>
    <mergeCell ref="B38:L38"/>
    <mergeCell ref="B41:L41"/>
    <mergeCell ref="B40:L40"/>
  </mergeCells>
  <printOptions headings="1"/>
  <pageMargins left="0.7" right="0.7" top="0.75" bottom="0.75" header="0.3" footer="0.3"/>
  <pageSetup scale="7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1"/>
  <sheetViews>
    <sheetView zoomScaleNormal="100" workbookViewId="0"/>
  </sheetViews>
  <sheetFormatPr defaultColWidth="9.1796875" defaultRowHeight="14.5" x14ac:dyDescent="0.35"/>
  <cols>
    <col min="1" max="1" width="4.453125" style="45" customWidth="1"/>
    <col min="2" max="2" width="4.81640625" style="102" customWidth="1"/>
    <col min="3" max="3" width="4.54296875" style="45" customWidth="1"/>
    <col min="4" max="4" width="76.54296875" style="45" customWidth="1"/>
    <col min="5" max="5" width="14" style="45" customWidth="1"/>
    <col min="6" max="6" width="60.26953125" style="45" customWidth="1"/>
    <col min="7" max="7" width="21.7265625" style="45" bestFit="1" customWidth="1"/>
    <col min="8" max="8" width="13.26953125" style="45" bestFit="1" customWidth="1"/>
    <col min="9" max="9" width="11" style="45" bestFit="1" customWidth="1"/>
    <col min="10" max="16384" width="9.1796875" style="45"/>
  </cols>
  <sheetData>
    <row r="1" spans="2:11" ht="16.5" customHeight="1" x14ac:dyDescent="0.45">
      <c r="B1" s="46" t="s">
        <v>0</v>
      </c>
      <c r="E1" s="158"/>
      <c r="F1" s="158"/>
    </row>
    <row r="2" spans="2:11" ht="14.25" customHeight="1" x14ac:dyDescent="0.45">
      <c r="B2" s="46" t="s">
        <v>177</v>
      </c>
      <c r="E2" s="159"/>
      <c r="F2" s="159"/>
    </row>
    <row r="3" spans="2:11" ht="15.5" x14ac:dyDescent="0.35">
      <c r="B3" s="46" t="s">
        <v>72</v>
      </c>
      <c r="E3" s="160"/>
      <c r="F3" s="160"/>
    </row>
    <row r="4" spans="2:11" ht="18.5" x14ac:dyDescent="0.45">
      <c r="B4" s="161"/>
      <c r="E4" s="160"/>
      <c r="F4" s="160"/>
    </row>
    <row r="5" spans="2:11" ht="22.4" customHeight="1" x14ac:dyDescent="0.35">
      <c r="B5" s="417" t="s">
        <v>178</v>
      </c>
      <c r="C5" s="417"/>
      <c r="D5" s="417"/>
      <c r="E5" s="144"/>
      <c r="F5" s="144"/>
      <c r="G5" s="144"/>
      <c r="H5" s="144"/>
      <c r="I5" s="144"/>
      <c r="J5" s="144"/>
      <c r="K5" s="144"/>
    </row>
    <row r="6" spans="2:11" ht="27" customHeight="1" x14ac:dyDescent="0.35">
      <c r="B6" s="417"/>
      <c r="C6" s="417"/>
      <c r="D6" s="417"/>
      <c r="E6" s="144"/>
      <c r="F6" s="144"/>
      <c r="G6" s="144"/>
      <c r="H6" s="144"/>
      <c r="I6" s="144"/>
      <c r="J6" s="144"/>
      <c r="K6" s="144"/>
    </row>
    <row r="7" spans="2:11" ht="22.4" customHeight="1" x14ac:dyDescent="0.35">
      <c r="B7" s="59"/>
      <c r="C7" s="59"/>
      <c r="D7" s="59"/>
      <c r="E7" s="144"/>
      <c r="F7" s="144"/>
      <c r="G7" s="144"/>
      <c r="H7" s="144"/>
      <c r="I7" s="144"/>
      <c r="J7" s="144"/>
      <c r="K7" s="144"/>
    </row>
    <row r="8" spans="2:11" ht="22.4" customHeight="1" x14ac:dyDescent="0.35">
      <c r="B8" s="472" t="s">
        <v>179</v>
      </c>
      <c r="C8" s="472"/>
      <c r="D8" s="472"/>
      <c r="E8" s="144"/>
      <c r="F8" s="144"/>
      <c r="G8" s="144"/>
      <c r="H8" s="144"/>
      <c r="I8" s="144"/>
      <c r="J8" s="144"/>
      <c r="K8" s="144"/>
    </row>
    <row r="9" spans="2:11" ht="21" customHeight="1" x14ac:dyDescent="0.35">
      <c r="B9" s="477" t="s">
        <v>180</v>
      </c>
      <c r="C9" s="477"/>
      <c r="D9" s="477"/>
      <c r="E9" s="59"/>
      <c r="F9" s="59"/>
      <c r="G9" s="59"/>
      <c r="H9" s="59"/>
      <c r="I9" s="59"/>
      <c r="J9" s="59"/>
      <c r="K9" s="59"/>
    </row>
    <row r="10" spans="2:11" ht="21" customHeight="1" x14ac:dyDescent="0.35">
      <c r="B10" s="478" t="s">
        <v>181</v>
      </c>
      <c r="C10" s="478"/>
      <c r="D10" s="478"/>
      <c r="E10" s="59"/>
      <c r="F10" s="59"/>
      <c r="G10" s="59"/>
      <c r="H10" s="59"/>
      <c r="I10" s="59"/>
      <c r="J10" s="59"/>
      <c r="K10" s="59"/>
    </row>
    <row r="11" spans="2:11" ht="21" customHeight="1" x14ac:dyDescent="0.35">
      <c r="B11" s="479" t="s">
        <v>182</v>
      </c>
      <c r="C11" s="479"/>
      <c r="D11" s="479"/>
      <c r="E11" s="59"/>
      <c r="F11" s="59"/>
      <c r="G11" s="59"/>
      <c r="H11" s="59"/>
      <c r="I11" s="59"/>
      <c r="J11" s="59"/>
      <c r="K11" s="59"/>
    </row>
    <row r="12" spans="2:11" ht="21" customHeight="1" x14ac:dyDescent="0.35">
      <c r="B12" s="47"/>
      <c r="C12" s="47"/>
      <c r="D12" s="47"/>
      <c r="E12" s="59"/>
      <c r="F12" s="59"/>
      <c r="G12" s="59"/>
      <c r="H12" s="59"/>
      <c r="I12" s="59"/>
      <c r="J12" s="59"/>
      <c r="K12" s="59"/>
    </row>
    <row r="13" spans="2:11" ht="21" customHeight="1" x14ac:dyDescent="0.35">
      <c r="B13" s="86" t="s">
        <v>183</v>
      </c>
      <c r="C13" s="47"/>
      <c r="D13" s="47"/>
      <c r="E13" s="59"/>
      <c r="F13" s="59"/>
      <c r="G13" s="59"/>
      <c r="H13" s="59"/>
      <c r="I13" s="59"/>
      <c r="J13" s="59"/>
      <c r="K13" s="59"/>
    </row>
    <row r="14" spans="2:11" ht="21" customHeight="1" x14ac:dyDescent="0.35">
      <c r="B14" s="59"/>
      <c r="C14" s="59"/>
      <c r="D14" s="59"/>
      <c r="E14" s="59"/>
      <c r="F14" s="59"/>
      <c r="G14" s="59"/>
      <c r="H14" s="59"/>
      <c r="I14" s="59"/>
      <c r="J14" s="59"/>
      <c r="K14" s="59"/>
    </row>
    <row r="15" spans="2:11" ht="18" customHeight="1" x14ac:dyDescent="0.35">
      <c r="B15" s="167" t="s">
        <v>184</v>
      </c>
      <c r="C15" s="168"/>
      <c r="D15" s="168"/>
      <c r="E15" s="168"/>
      <c r="F15" s="169"/>
    </row>
    <row r="16" spans="2:11" x14ac:dyDescent="0.35">
      <c r="B16" s="165" t="s">
        <v>185</v>
      </c>
      <c r="C16" s="475" t="s">
        <v>186</v>
      </c>
      <c r="D16" s="476"/>
      <c r="E16" s="170">
        <v>0.13736781484223259</v>
      </c>
      <c r="F16" s="166" t="s">
        <v>187</v>
      </c>
      <c r="G16" s="214"/>
      <c r="H16" s="213"/>
    </row>
    <row r="17" spans="1:9" x14ac:dyDescent="0.35">
      <c r="B17" s="156" t="s">
        <v>188</v>
      </c>
      <c r="C17" s="466" t="s">
        <v>189</v>
      </c>
      <c r="D17" s="467"/>
      <c r="E17" s="171">
        <v>29422649</v>
      </c>
      <c r="F17" s="8" t="s">
        <v>187</v>
      </c>
      <c r="G17" s="214"/>
    </row>
    <row r="18" spans="1:9" x14ac:dyDescent="0.35">
      <c r="B18" s="156" t="s">
        <v>190</v>
      </c>
      <c r="C18" s="466" t="s">
        <v>191</v>
      </c>
      <c r="D18" s="467"/>
      <c r="E18" s="172">
        <f>E16*E17</f>
        <v>4041725</v>
      </c>
      <c r="F18" s="7" t="s">
        <v>192</v>
      </c>
      <c r="H18" s="203"/>
    </row>
    <row r="19" spans="1:9" x14ac:dyDescent="0.35">
      <c r="B19" s="156" t="s">
        <v>193</v>
      </c>
      <c r="C19" s="466" t="s">
        <v>194</v>
      </c>
      <c r="D19" s="467"/>
      <c r="E19" s="173">
        <v>3868910</v>
      </c>
      <c r="F19" s="9" t="s">
        <v>195</v>
      </c>
      <c r="I19" s="202"/>
    </row>
    <row r="20" spans="1:9" ht="16.5" customHeight="1" x14ac:dyDescent="0.35">
      <c r="B20" s="156"/>
      <c r="C20" s="162" t="s">
        <v>196</v>
      </c>
      <c r="D20" s="163"/>
      <c r="E20" s="174"/>
      <c r="F20" s="164"/>
    </row>
    <row r="21" spans="1:9" x14ac:dyDescent="0.35">
      <c r="B21" s="156" t="s">
        <v>197</v>
      </c>
      <c r="C21" s="462" t="s">
        <v>198</v>
      </c>
      <c r="D21" s="463"/>
      <c r="E21" s="171">
        <v>676721</v>
      </c>
      <c r="F21" s="8" t="s">
        <v>199</v>
      </c>
    </row>
    <row r="22" spans="1:9" x14ac:dyDescent="0.35">
      <c r="B22" s="156" t="s">
        <v>200</v>
      </c>
      <c r="C22" s="462" t="s">
        <v>201</v>
      </c>
      <c r="D22" s="463"/>
      <c r="E22" s="171">
        <v>735566</v>
      </c>
      <c r="F22" s="8" t="s">
        <v>199</v>
      </c>
    </row>
    <row r="23" spans="1:9" x14ac:dyDescent="0.35">
      <c r="B23" s="156" t="s">
        <v>202</v>
      </c>
      <c r="C23" s="462" t="s">
        <v>203</v>
      </c>
      <c r="D23" s="463"/>
      <c r="E23" s="175">
        <f>E21/E17</f>
        <v>2.3000002481081836E-2</v>
      </c>
      <c r="F23" s="7" t="s">
        <v>204</v>
      </c>
    </row>
    <row r="24" spans="1:9" x14ac:dyDescent="0.35">
      <c r="A24" s="48"/>
      <c r="B24" s="156" t="s">
        <v>205</v>
      </c>
      <c r="C24" s="462" t="s">
        <v>206</v>
      </c>
      <c r="D24" s="463"/>
      <c r="E24" s="172">
        <f>E22-E21</f>
        <v>58845</v>
      </c>
      <c r="F24" s="7" t="s">
        <v>207</v>
      </c>
    </row>
    <row r="25" spans="1:9" x14ac:dyDescent="0.35">
      <c r="B25" s="156" t="s">
        <v>208</v>
      </c>
      <c r="C25" s="462" t="s">
        <v>209</v>
      </c>
      <c r="D25" s="463"/>
      <c r="E25" s="173">
        <v>55776</v>
      </c>
      <c r="F25" s="9" t="s">
        <v>195</v>
      </c>
      <c r="H25" s="212"/>
    </row>
    <row r="26" spans="1:9" x14ac:dyDescent="0.35">
      <c r="B26" s="156" t="s">
        <v>210</v>
      </c>
      <c r="C26" s="464" t="s">
        <v>211</v>
      </c>
      <c r="D26" s="465"/>
      <c r="E26" s="176">
        <f>E24+E25</f>
        <v>114621</v>
      </c>
      <c r="F26" s="7" t="s">
        <v>212</v>
      </c>
    </row>
    <row r="27" spans="1:9" x14ac:dyDescent="0.35">
      <c r="B27" s="156" t="s">
        <v>213</v>
      </c>
      <c r="C27" s="466" t="s">
        <v>214</v>
      </c>
      <c r="D27" s="467"/>
      <c r="E27" s="172">
        <f>E18-E19+E26</f>
        <v>287436</v>
      </c>
      <c r="F27" s="7" t="s">
        <v>215</v>
      </c>
    </row>
    <row r="28" spans="1:9" x14ac:dyDescent="0.35">
      <c r="B28" s="216" t="s">
        <v>216</v>
      </c>
      <c r="C28" s="468" t="s">
        <v>217</v>
      </c>
      <c r="D28" s="469"/>
      <c r="E28" s="177">
        <f>E29</f>
        <v>75248</v>
      </c>
      <c r="F28" s="9" t="s">
        <v>218</v>
      </c>
      <c r="G28"/>
      <c r="I28" s="213"/>
    </row>
    <row r="29" spans="1:9" x14ac:dyDescent="0.35">
      <c r="B29" s="156" t="s">
        <v>219</v>
      </c>
      <c r="C29" s="466" t="s">
        <v>220</v>
      </c>
      <c r="D29" s="467"/>
      <c r="E29" s="177">
        <f>'1- Ex Ante Results'!C82</f>
        <v>75248</v>
      </c>
      <c r="F29" s="9" t="s">
        <v>221</v>
      </c>
    </row>
    <row r="30" spans="1:9" ht="27" customHeight="1" x14ac:dyDescent="0.35">
      <c r="B30" s="156" t="s">
        <v>222</v>
      </c>
      <c r="C30" s="460" t="s">
        <v>223</v>
      </c>
      <c r="D30" s="461"/>
      <c r="E30" s="178">
        <f>E29/E27</f>
        <v>0.26179045074381774</v>
      </c>
      <c r="F30" s="7" t="s">
        <v>224</v>
      </c>
    </row>
    <row r="31" spans="1:9" ht="18" customHeight="1" x14ac:dyDescent="0.35">
      <c r="B31" s="206" t="s">
        <v>225</v>
      </c>
      <c r="C31" s="207"/>
      <c r="D31" s="207"/>
      <c r="E31" s="208"/>
      <c r="F31" s="209"/>
    </row>
    <row r="32" spans="1:9" x14ac:dyDescent="0.35">
      <c r="B32" s="156" t="s">
        <v>226</v>
      </c>
      <c r="C32" s="470" t="s">
        <v>227</v>
      </c>
      <c r="D32" s="471"/>
      <c r="E32" s="180">
        <v>0.13136781503550801</v>
      </c>
      <c r="F32" s="308" t="s">
        <v>228</v>
      </c>
    </row>
    <row r="33" spans="2:8" x14ac:dyDescent="0.35">
      <c r="B33" s="156" t="s">
        <v>229</v>
      </c>
      <c r="C33" s="470" t="s">
        <v>230</v>
      </c>
      <c r="D33" s="471"/>
      <c r="E33" s="177">
        <v>3865189</v>
      </c>
      <c r="F33" s="151" t="s">
        <v>228</v>
      </c>
      <c r="G33" s="204"/>
    </row>
    <row r="34" spans="2:8" x14ac:dyDescent="0.35">
      <c r="B34" s="156" t="s">
        <v>231</v>
      </c>
      <c r="C34" s="157" t="s">
        <v>232</v>
      </c>
      <c r="D34" s="157"/>
      <c r="E34" s="172">
        <f>E18-E33</f>
        <v>176536</v>
      </c>
      <c r="F34" s="7" t="s">
        <v>233</v>
      </c>
    </row>
    <row r="35" spans="2:8" x14ac:dyDescent="0.35">
      <c r="B35" s="156" t="s">
        <v>234</v>
      </c>
      <c r="C35" s="157" t="s">
        <v>235</v>
      </c>
      <c r="D35" s="157"/>
      <c r="E35" s="172">
        <f>E34+E26</f>
        <v>291157</v>
      </c>
      <c r="F35" s="7" t="s">
        <v>236</v>
      </c>
      <c r="G35" s="155"/>
    </row>
    <row r="36" spans="2:8" x14ac:dyDescent="0.35">
      <c r="B36" s="156" t="s">
        <v>237</v>
      </c>
      <c r="C36" s="157" t="s">
        <v>238</v>
      </c>
      <c r="D36" s="157"/>
      <c r="E36" s="172">
        <f>E29</f>
        <v>75248</v>
      </c>
      <c r="F36" s="7" t="s">
        <v>239</v>
      </c>
      <c r="H36" s="155"/>
    </row>
    <row r="37" spans="2:8" ht="32.5" customHeight="1" x14ac:dyDescent="0.35">
      <c r="B37" s="156" t="s">
        <v>240</v>
      </c>
      <c r="C37" s="473" t="s">
        <v>241</v>
      </c>
      <c r="D37" s="474"/>
      <c r="E37" s="179">
        <f>E26</f>
        <v>114621</v>
      </c>
      <c r="F37" s="7" t="s">
        <v>242</v>
      </c>
    </row>
    <row r="38" spans="2:8" x14ac:dyDescent="0.35">
      <c r="B38" s="156" t="s">
        <v>243</v>
      </c>
      <c r="C38" s="473" t="s">
        <v>244</v>
      </c>
      <c r="D38" s="474"/>
      <c r="E38" s="172">
        <f>E36-E37</f>
        <v>-39373</v>
      </c>
      <c r="F38" s="7" t="s">
        <v>245</v>
      </c>
    </row>
    <row r="39" spans="2:8" ht="30" customHeight="1" x14ac:dyDescent="0.35">
      <c r="B39" s="156" t="s">
        <v>246</v>
      </c>
      <c r="C39" s="460" t="s">
        <v>247</v>
      </c>
      <c r="D39" s="461"/>
      <c r="E39" s="178">
        <f>E38/E34</f>
        <v>-0.22303099651062672</v>
      </c>
      <c r="F39" s="7" t="s">
        <v>248</v>
      </c>
    </row>
    <row r="40" spans="2:8" x14ac:dyDescent="0.35">
      <c r="B40" s="152"/>
      <c r="C40" s="109"/>
      <c r="D40" s="109"/>
      <c r="E40" s="153"/>
      <c r="F40" s="154"/>
    </row>
    <row r="41" spans="2:8" x14ac:dyDescent="0.35">
      <c r="B41" s="152"/>
      <c r="C41" s="109"/>
      <c r="D41" s="109"/>
      <c r="E41" s="109"/>
      <c r="F41" s="109"/>
    </row>
  </sheetData>
  <mergeCells count="24">
    <mergeCell ref="B5:D6"/>
    <mergeCell ref="B8:D8"/>
    <mergeCell ref="C37:D37"/>
    <mergeCell ref="C38:D38"/>
    <mergeCell ref="C19:D19"/>
    <mergeCell ref="C16:D16"/>
    <mergeCell ref="C17:D17"/>
    <mergeCell ref="C18:D18"/>
    <mergeCell ref="B9:D9"/>
    <mergeCell ref="B10:D10"/>
    <mergeCell ref="B11:D11"/>
    <mergeCell ref="C39:D39"/>
    <mergeCell ref="C21:D21"/>
    <mergeCell ref="C22:D22"/>
    <mergeCell ref="C23:D23"/>
    <mergeCell ref="C24:D24"/>
    <mergeCell ref="C25:D25"/>
    <mergeCell ref="C26:D26"/>
    <mergeCell ref="C27:D27"/>
    <mergeCell ref="C28:D28"/>
    <mergeCell ref="C29:D29"/>
    <mergeCell ref="C30:D30"/>
    <mergeCell ref="C32:D32"/>
    <mergeCell ref="C33:D33"/>
  </mergeCells>
  <printOptions headings="1"/>
  <pageMargins left="0.7" right="0.7" top="0.75" bottom="0.75" header="0.3" footer="0.3"/>
  <pageSetup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U42"/>
  <sheetViews>
    <sheetView zoomScaleNormal="100" workbookViewId="0"/>
  </sheetViews>
  <sheetFormatPr defaultColWidth="9.1796875" defaultRowHeight="14.5" x14ac:dyDescent="0.35"/>
  <cols>
    <col min="1" max="1" width="3.54296875" style="45" customWidth="1"/>
    <col min="2" max="2" width="53.7265625" style="48" customWidth="1"/>
    <col min="3" max="7" width="22.26953125" style="45" customWidth="1"/>
    <col min="8" max="8" width="8.81640625" style="45" customWidth="1"/>
    <col min="9" max="9" width="53.7265625" style="45" customWidth="1"/>
    <col min="10" max="14" width="22.26953125" style="45" customWidth="1"/>
    <col min="15" max="15" width="9.1796875" style="45"/>
    <col min="16" max="16" width="53.7265625" style="45" customWidth="1"/>
    <col min="17" max="38" width="22.26953125" style="45" customWidth="1"/>
    <col min="39" max="16384" width="9.1796875" style="45"/>
  </cols>
  <sheetData>
    <row r="1" spans="2:21" x14ac:dyDescent="0.35">
      <c r="B1" s="44" t="s">
        <v>0</v>
      </c>
    </row>
    <row r="2" spans="2:21" x14ac:dyDescent="0.35">
      <c r="B2" s="44" t="s">
        <v>249</v>
      </c>
    </row>
    <row r="3" spans="2:21" x14ac:dyDescent="0.35">
      <c r="B3" s="46" t="s">
        <v>72</v>
      </c>
    </row>
    <row r="4" spans="2:21" x14ac:dyDescent="0.35">
      <c r="B4" s="44"/>
    </row>
    <row r="5" spans="2:21" ht="29.25" customHeight="1" x14ac:dyDescent="0.35">
      <c r="B5" s="445" t="s">
        <v>250</v>
      </c>
      <c r="C5" s="445"/>
      <c r="D5" s="445"/>
      <c r="E5" s="445"/>
      <c r="F5" s="445"/>
      <c r="G5" s="445"/>
    </row>
    <row r="6" spans="2:21" x14ac:dyDescent="0.35">
      <c r="B6" s="445"/>
      <c r="C6" s="445"/>
      <c r="D6" s="445"/>
      <c r="E6" s="445"/>
      <c r="F6" s="445"/>
      <c r="G6" s="445"/>
    </row>
    <row r="7" spans="2:21" x14ac:dyDescent="0.35">
      <c r="B7" s="445"/>
      <c r="C7" s="445"/>
      <c r="D7" s="445"/>
      <c r="E7" s="445"/>
      <c r="F7" s="445"/>
      <c r="G7" s="445"/>
    </row>
    <row r="8" spans="2:21" x14ac:dyDescent="0.35">
      <c r="B8" s="445"/>
      <c r="C8" s="445"/>
      <c r="D8" s="445"/>
      <c r="E8" s="445"/>
      <c r="F8" s="445"/>
      <c r="G8" s="445"/>
    </row>
    <row r="9" spans="2:21" ht="42" customHeight="1" x14ac:dyDescent="0.35">
      <c r="B9" s="445"/>
      <c r="C9" s="445"/>
      <c r="D9" s="445"/>
      <c r="E9" s="445"/>
      <c r="F9" s="445"/>
      <c r="G9" s="445"/>
    </row>
    <row r="11" spans="2:21" ht="18" x14ac:dyDescent="0.4">
      <c r="B11" s="49" t="s">
        <v>251</v>
      </c>
      <c r="C11" s="49"/>
      <c r="D11" s="50"/>
      <c r="E11" s="50"/>
      <c r="F11" s="50"/>
      <c r="G11" s="50"/>
    </row>
    <row r="12" spans="2:21" ht="18.5" thickBot="1" x14ac:dyDescent="0.45">
      <c r="B12" s="49"/>
      <c r="C12" s="49"/>
      <c r="D12" s="50"/>
      <c r="E12" s="50"/>
      <c r="F12" s="50"/>
      <c r="G12" s="50"/>
    </row>
    <row r="13" spans="2:21" ht="15" thickBot="1" x14ac:dyDescent="0.4">
      <c r="B13" s="480" t="s">
        <v>252</v>
      </c>
      <c r="C13" s="481"/>
      <c r="D13" s="481"/>
      <c r="E13" s="481"/>
      <c r="F13" s="481"/>
      <c r="G13" s="482"/>
      <c r="I13" s="480" t="s">
        <v>253</v>
      </c>
      <c r="J13" s="481"/>
      <c r="K13" s="481"/>
      <c r="L13" s="481"/>
      <c r="M13" s="481"/>
      <c r="N13" s="482"/>
      <c r="P13" s="480" t="s">
        <v>254</v>
      </c>
      <c r="Q13" s="481"/>
      <c r="R13" s="481"/>
      <c r="S13" s="481"/>
      <c r="T13" s="481"/>
      <c r="U13" s="482"/>
    </row>
    <row r="14" spans="2:21" s="48" customFormat="1" ht="47.15" customHeight="1" x14ac:dyDescent="0.35">
      <c r="B14" s="182" t="s">
        <v>100</v>
      </c>
      <c r="C14" s="21" t="s">
        <v>255</v>
      </c>
      <c r="D14" s="21" t="s">
        <v>256</v>
      </c>
      <c r="E14" s="21" t="s">
        <v>257</v>
      </c>
      <c r="F14" s="21" t="s">
        <v>258</v>
      </c>
      <c r="G14" s="22" t="s">
        <v>259</v>
      </c>
      <c r="I14" s="182" t="s">
        <v>100</v>
      </c>
      <c r="J14" s="21" t="s">
        <v>255</v>
      </c>
      <c r="K14" s="21" t="s">
        <v>256</v>
      </c>
      <c r="L14" s="21" t="s">
        <v>257</v>
      </c>
      <c r="M14" s="21" t="s">
        <v>258</v>
      </c>
      <c r="N14" s="22" t="s">
        <v>259</v>
      </c>
      <c r="P14" s="182" t="s">
        <v>100</v>
      </c>
      <c r="Q14" s="21" t="s">
        <v>255</v>
      </c>
      <c r="R14" s="21" t="s">
        <v>256</v>
      </c>
      <c r="S14" s="21" t="s">
        <v>257</v>
      </c>
      <c r="T14" s="21" t="s">
        <v>258</v>
      </c>
      <c r="U14" s="22" t="s">
        <v>259</v>
      </c>
    </row>
    <row r="15" spans="2:21" ht="16.5" customHeight="1" x14ac:dyDescent="0.35">
      <c r="B15" s="183" t="s">
        <v>260</v>
      </c>
      <c r="C15" s="187">
        <v>10402128</v>
      </c>
      <c r="D15" s="188">
        <v>2727503</v>
      </c>
      <c r="E15" s="188">
        <f>SUM(C15:D15)</f>
        <v>13129631</v>
      </c>
      <c r="F15" s="188" t="s">
        <v>122</v>
      </c>
      <c r="G15" s="189">
        <f>SUM(E15:F15)</f>
        <v>13129631</v>
      </c>
      <c r="I15" s="183" t="s">
        <v>260</v>
      </c>
      <c r="J15" s="187">
        <v>990371</v>
      </c>
      <c r="K15" s="188">
        <v>0</v>
      </c>
      <c r="L15" s="188">
        <f>SUM(J15:K15)</f>
        <v>990371</v>
      </c>
      <c r="M15" s="188">
        <v>0</v>
      </c>
      <c r="N15" s="189">
        <f>SUM(L15:M15)</f>
        <v>990371</v>
      </c>
      <c r="P15" s="183" t="s">
        <v>260</v>
      </c>
      <c r="Q15" s="187">
        <f>SUM(C15,J15)</f>
        <v>11392499</v>
      </c>
      <c r="R15" s="187">
        <f>SUM(D15,K15)</f>
        <v>2727503</v>
      </c>
      <c r="S15" s="188">
        <f>SUM(Q15:R15)</f>
        <v>14120002</v>
      </c>
      <c r="T15" s="188">
        <f>SUM(F15,M15)</f>
        <v>0</v>
      </c>
      <c r="U15" s="189">
        <f>SUM(S15:T15)</f>
        <v>14120002</v>
      </c>
    </row>
    <row r="16" spans="2:21" s="48" customFormat="1" ht="16.5" customHeight="1" x14ac:dyDescent="0.25">
      <c r="B16" s="183" t="s">
        <v>261</v>
      </c>
      <c r="C16" s="190">
        <v>20869054</v>
      </c>
      <c r="D16" s="191">
        <v>6643233</v>
      </c>
      <c r="E16" s="188">
        <f t="shared" ref="E16:E17" si="0">SUM(C16:D16)</f>
        <v>27512287</v>
      </c>
      <c r="F16" s="191" t="s">
        <v>122</v>
      </c>
      <c r="G16" s="189">
        <f t="shared" ref="G16:G17" si="1">SUM(E16:F16)</f>
        <v>27512287</v>
      </c>
      <c r="I16" s="183" t="s">
        <v>261</v>
      </c>
      <c r="J16" s="190">
        <v>3710637</v>
      </c>
      <c r="K16" s="191">
        <v>0</v>
      </c>
      <c r="L16" s="188">
        <f t="shared" ref="L16:L17" si="2">SUM(J16:K16)</f>
        <v>3710637</v>
      </c>
      <c r="M16" s="191">
        <v>0</v>
      </c>
      <c r="N16" s="189">
        <f t="shared" ref="N16:N17" si="3">SUM(L16:M16)</f>
        <v>3710637</v>
      </c>
      <c r="P16" s="183" t="s">
        <v>261</v>
      </c>
      <c r="Q16" s="187">
        <f t="shared" ref="Q16:Q17" si="4">SUM(C16,J16)</f>
        <v>24579691</v>
      </c>
      <c r="R16" s="187">
        <f t="shared" ref="R16:R17" si="5">SUM(D16,K16)</f>
        <v>6643233</v>
      </c>
      <c r="S16" s="188">
        <f t="shared" ref="S16:S17" si="6">SUM(Q16:R16)</f>
        <v>31222924</v>
      </c>
      <c r="T16" s="188">
        <f t="shared" ref="T16:T17" si="7">SUM(F16,M16)</f>
        <v>0</v>
      </c>
      <c r="U16" s="189">
        <f t="shared" ref="U16:U17" si="8">SUM(S16:T16)</f>
        <v>31222924</v>
      </c>
    </row>
    <row r="17" spans="2:21" ht="16.5" customHeight="1" x14ac:dyDescent="0.35">
      <c r="B17" s="183" t="s">
        <v>262</v>
      </c>
      <c r="C17" s="187">
        <v>32811835</v>
      </c>
      <c r="D17" s="188">
        <v>10070569</v>
      </c>
      <c r="E17" s="188">
        <f t="shared" si="0"/>
        <v>42882404</v>
      </c>
      <c r="F17" s="188" t="s">
        <v>122</v>
      </c>
      <c r="G17" s="189">
        <f t="shared" si="1"/>
        <v>42882404</v>
      </c>
      <c r="I17" s="183" t="s">
        <v>262</v>
      </c>
      <c r="J17" s="187">
        <v>4479640</v>
      </c>
      <c r="K17" s="188">
        <v>0</v>
      </c>
      <c r="L17" s="188">
        <f t="shared" si="2"/>
        <v>4479640</v>
      </c>
      <c r="M17" s="188">
        <v>0</v>
      </c>
      <c r="N17" s="189">
        <f t="shared" si="3"/>
        <v>4479640</v>
      </c>
      <c r="P17" s="183" t="s">
        <v>262</v>
      </c>
      <c r="Q17" s="187">
        <f t="shared" si="4"/>
        <v>37291475</v>
      </c>
      <c r="R17" s="187">
        <f t="shared" si="5"/>
        <v>10070569</v>
      </c>
      <c r="S17" s="188">
        <f t="shared" si="6"/>
        <v>47362044</v>
      </c>
      <c r="T17" s="188">
        <f t="shared" si="7"/>
        <v>0</v>
      </c>
      <c r="U17" s="189">
        <f t="shared" si="8"/>
        <v>47362044</v>
      </c>
    </row>
    <row r="18" spans="2:21" ht="16.5" customHeight="1" x14ac:dyDescent="0.35">
      <c r="B18" s="184" t="s">
        <v>137</v>
      </c>
      <c r="C18" s="192">
        <f>SUM(C15:C17)</f>
        <v>64083017</v>
      </c>
      <c r="D18" s="192">
        <f t="shared" ref="D18:G18" si="9">SUM(D15:D17)</f>
        <v>19441305</v>
      </c>
      <c r="E18" s="192">
        <f t="shared" si="9"/>
        <v>83524322</v>
      </c>
      <c r="F18" s="192">
        <f t="shared" si="9"/>
        <v>0</v>
      </c>
      <c r="G18" s="193">
        <f t="shared" si="9"/>
        <v>83524322</v>
      </c>
      <c r="I18" s="184" t="s">
        <v>137</v>
      </c>
      <c r="J18" s="192">
        <f>SUM(J15:J17)</f>
        <v>9180648</v>
      </c>
      <c r="K18" s="192">
        <f t="shared" ref="K18" si="10">SUM(K15:K17)</f>
        <v>0</v>
      </c>
      <c r="L18" s="192">
        <f t="shared" ref="L18" si="11">SUM(L15:L17)</f>
        <v>9180648</v>
      </c>
      <c r="M18" s="192">
        <f t="shared" ref="M18" si="12">SUM(M15:M17)</f>
        <v>0</v>
      </c>
      <c r="N18" s="193">
        <f t="shared" ref="N18" si="13">SUM(N15:N17)</f>
        <v>9180648</v>
      </c>
      <c r="P18" s="184" t="s">
        <v>137</v>
      </c>
      <c r="Q18" s="192">
        <f>SUM(Q15:Q17)</f>
        <v>73263665</v>
      </c>
      <c r="R18" s="192">
        <f t="shared" ref="R18" si="14">SUM(R15:R17)</f>
        <v>19441305</v>
      </c>
      <c r="S18" s="192">
        <f t="shared" ref="S18" si="15">SUM(S15:S17)</f>
        <v>92704970</v>
      </c>
      <c r="T18" s="192">
        <f t="shared" ref="T18" si="16">SUM(T15:T17)</f>
        <v>0</v>
      </c>
      <c r="U18" s="193">
        <f t="shared" ref="U18" si="17">SUM(U15:U17)</f>
        <v>92704970</v>
      </c>
    </row>
    <row r="19" spans="2:21" ht="16.5" customHeight="1" x14ac:dyDescent="0.35">
      <c r="B19" s="183" t="s">
        <v>263</v>
      </c>
      <c r="C19" s="187">
        <v>38106737</v>
      </c>
      <c r="D19" s="188">
        <v>10366287</v>
      </c>
      <c r="E19" s="188">
        <f>SUM(C19:D19)</f>
        <v>48473024</v>
      </c>
      <c r="F19" s="188" t="s">
        <v>122</v>
      </c>
      <c r="G19" s="189">
        <f>SUM(E19:F19)</f>
        <v>48473024</v>
      </c>
      <c r="I19" s="183" t="s">
        <v>263</v>
      </c>
      <c r="J19" s="187">
        <v>10955117.050000001</v>
      </c>
      <c r="K19" s="188">
        <v>3124552</v>
      </c>
      <c r="L19" s="188">
        <f>SUM(J19:K19)</f>
        <v>14079669.050000001</v>
      </c>
      <c r="M19" s="188">
        <v>0</v>
      </c>
      <c r="N19" s="189">
        <f>SUM(L19:M19)</f>
        <v>14079669.050000001</v>
      </c>
      <c r="P19" s="183" t="s">
        <v>263</v>
      </c>
      <c r="Q19" s="187">
        <f>SUM(C19,J19)</f>
        <v>49061854.049999997</v>
      </c>
      <c r="R19" s="187">
        <f>SUM(D19,K19)</f>
        <v>13490839</v>
      </c>
      <c r="S19" s="188">
        <f>SUM(Q19:R19)</f>
        <v>62552693.049999997</v>
      </c>
      <c r="T19" s="188">
        <f>SUM(F19,M19)</f>
        <v>0</v>
      </c>
      <c r="U19" s="189">
        <f>SUM(S19:T19)</f>
        <v>62552693.049999997</v>
      </c>
    </row>
    <row r="20" spans="2:21" ht="16.5" customHeight="1" x14ac:dyDescent="0.35">
      <c r="B20" s="183" t="s">
        <v>264</v>
      </c>
      <c r="C20" s="187">
        <v>37710086.579999998</v>
      </c>
      <c r="D20" s="188">
        <v>12955815</v>
      </c>
      <c r="E20" s="188">
        <f t="shared" ref="E20:E21" si="18">SUM(C20:D20)</f>
        <v>50665901.579999998</v>
      </c>
      <c r="F20" s="188" t="s">
        <v>122</v>
      </c>
      <c r="G20" s="189">
        <f t="shared" ref="G20:G21" si="19">SUM(E20:F20)</f>
        <v>50665901.579999998</v>
      </c>
      <c r="I20" s="183" t="s">
        <v>264</v>
      </c>
      <c r="J20" s="187">
        <v>11771030.83</v>
      </c>
      <c r="K20" s="188">
        <v>4540401</v>
      </c>
      <c r="L20" s="188">
        <f t="shared" ref="L20:L21" si="20">SUM(J20:K20)</f>
        <v>16311431.83</v>
      </c>
      <c r="M20" s="188">
        <v>0</v>
      </c>
      <c r="N20" s="189">
        <f t="shared" ref="N20:N21" si="21">SUM(L20:M20)</f>
        <v>16311431.83</v>
      </c>
      <c r="P20" s="183" t="s">
        <v>264</v>
      </c>
      <c r="Q20" s="187">
        <f t="shared" ref="Q20:Q21" si="22">SUM(C20,J20)</f>
        <v>49481117.409999996</v>
      </c>
      <c r="R20" s="187">
        <f t="shared" ref="R20:R21" si="23">SUM(D20,K20)</f>
        <v>17496216</v>
      </c>
      <c r="S20" s="188">
        <f ca="1">SUM(Q20:R30)</f>
        <v>724613411304.46094</v>
      </c>
      <c r="T20" s="188">
        <f t="shared" ref="T20:T21" si="24">SUM(F20,M20)</f>
        <v>0</v>
      </c>
      <c r="U20" s="189">
        <f t="shared" ref="U20:U21" ca="1" si="25">SUM(S20:T20)</f>
        <v>724613411304.46094</v>
      </c>
    </row>
    <row r="21" spans="2:21" ht="16.5" customHeight="1" x14ac:dyDescent="0.35">
      <c r="B21" s="183" t="s">
        <v>265</v>
      </c>
      <c r="C21" s="187">
        <v>37398421</v>
      </c>
      <c r="D21" s="188">
        <v>8665054</v>
      </c>
      <c r="E21" s="188">
        <f t="shared" si="18"/>
        <v>46063475</v>
      </c>
      <c r="F21" s="188">
        <v>11304464</v>
      </c>
      <c r="G21" s="189">
        <f t="shared" si="19"/>
        <v>57367939</v>
      </c>
      <c r="I21" s="183" t="s">
        <v>265</v>
      </c>
      <c r="J21" s="187">
        <v>10107643</v>
      </c>
      <c r="K21" s="188">
        <v>5012103</v>
      </c>
      <c r="L21" s="188">
        <f t="shared" si="20"/>
        <v>15119746</v>
      </c>
      <c r="M21" s="188">
        <v>0</v>
      </c>
      <c r="N21" s="189">
        <f t="shared" si="21"/>
        <v>15119746</v>
      </c>
      <c r="P21" s="183" t="s">
        <v>265</v>
      </c>
      <c r="Q21" s="187">
        <f t="shared" si="22"/>
        <v>47506064</v>
      </c>
      <c r="R21" s="187">
        <f t="shared" si="23"/>
        <v>13677157</v>
      </c>
      <c r="S21" s="188">
        <f ca="1">SUM(Q21:R31)</f>
        <v>724775354434.34607</v>
      </c>
      <c r="T21" s="188">
        <f t="shared" si="24"/>
        <v>11304464</v>
      </c>
      <c r="U21" s="189">
        <f t="shared" ca="1" si="25"/>
        <v>724786658898.34607</v>
      </c>
    </row>
    <row r="22" spans="2:21" ht="16.5" customHeight="1" x14ac:dyDescent="0.35">
      <c r="B22" s="184" t="s">
        <v>142</v>
      </c>
      <c r="C22" s="192">
        <f>SUM(C19:C21)</f>
        <v>113215244.58</v>
      </c>
      <c r="D22" s="192">
        <f t="shared" ref="D22:G22" si="26">SUM(D19:D21)</f>
        <v>31987156</v>
      </c>
      <c r="E22" s="192">
        <f t="shared" si="26"/>
        <v>145202400.57999998</v>
      </c>
      <c r="F22" s="192">
        <f t="shared" si="26"/>
        <v>11304464</v>
      </c>
      <c r="G22" s="193">
        <f t="shared" si="26"/>
        <v>156506864.57999998</v>
      </c>
      <c r="I22" s="184" t="s">
        <v>142</v>
      </c>
      <c r="J22" s="192">
        <f>SUM(J19:J21)</f>
        <v>32833790.880000003</v>
      </c>
      <c r="K22" s="192">
        <f t="shared" ref="K22" si="27">SUM(K19:K21)</f>
        <v>12677056</v>
      </c>
      <c r="L22" s="192">
        <f t="shared" ref="L22" si="28">SUM(L19:L21)</f>
        <v>45510846.880000003</v>
      </c>
      <c r="M22" s="192">
        <f t="shared" ref="M22" si="29">SUM(M19:M21)</f>
        <v>0</v>
      </c>
      <c r="N22" s="193">
        <f t="shared" ref="N22" si="30">SUM(N19:N21)</f>
        <v>45510846.880000003</v>
      </c>
      <c r="P22" s="184" t="s">
        <v>142</v>
      </c>
      <c r="Q22" s="192">
        <f ca="1">SUM(Q19:Q31)</f>
        <v>724260664849.7019</v>
      </c>
      <c r="R22" s="192">
        <f t="shared" ref="R22" si="31">SUM(R19:R21)</f>
        <v>44664212</v>
      </c>
      <c r="S22" s="192">
        <f t="shared" ref="S22" ca="1" si="32">SUM(S19:S21)</f>
        <v>1449451318431.8569</v>
      </c>
      <c r="T22" s="192">
        <f t="shared" ref="T22" si="33">SUM(T19:T21)</f>
        <v>11304464</v>
      </c>
      <c r="U22" s="193">
        <f t="shared" ref="U22" ca="1" si="34">SUM(U19:U21)</f>
        <v>1449462622895.8569</v>
      </c>
    </row>
    <row r="23" spans="2:21" ht="16.5" customHeight="1" x14ac:dyDescent="0.35">
      <c r="B23" s="183" t="s">
        <v>266</v>
      </c>
      <c r="C23" s="188">
        <v>45492403.572529398</v>
      </c>
      <c r="D23" s="188">
        <v>11442802</v>
      </c>
      <c r="E23" s="188">
        <f>SUM(C23:D23)</f>
        <v>56935205.572529398</v>
      </c>
      <c r="F23" s="188">
        <v>23079733.54647059</v>
      </c>
      <c r="G23" s="189">
        <f>SUM(E23:F23)</f>
        <v>80014939.118999988</v>
      </c>
      <c r="I23" s="183" t="s">
        <v>266</v>
      </c>
      <c r="J23" s="188">
        <v>11300080.921</v>
      </c>
      <c r="K23" s="188">
        <v>3036995.8499999996</v>
      </c>
      <c r="L23" s="188">
        <f>SUM(J23:K23)</f>
        <v>14337076.771</v>
      </c>
      <c r="M23" s="188">
        <v>0</v>
      </c>
      <c r="N23" s="189">
        <f>SUM(L23:M23)</f>
        <v>14337076.771</v>
      </c>
      <c r="P23" s="183" t="s">
        <v>266</v>
      </c>
      <c r="Q23" s="187">
        <f>SUM(C23,J23)</f>
        <v>56792484.493529394</v>
      </c>
      <c r="R23" s="187">
        <f>SUM(D23,K23)</f>
        <v>14479797.85</v>
      </c>
      <c r="S23" s="188">
        <f ca="1">SUM(Q23:R33)</f>
        <v>737223850857.43774</v>
      </c>
      <c r="T23" s="188">
        <f>SUM(F23,M23)</f>
        <v>23079733.54647059</v>
      </c>
      <c r="U23" s="189">
        <f ca="1">SUM(S23:T23)</f>
        <v>737246930590.98425</v>
      </c>
    </row>
    <row r="24" spans="2:21" ht="16.5" customHeight="1" x14ac:dyDescent="0.35">
      <c r="B24" s="183" t="s">
        <v>267</v>
      </c>
      <c r="C24" s="188">
        <v>40525431.816717699</v>
      </c>
      <c r="D24" s="188">
        <v>3905399.7600000007</v>
      </c>
      <c r="E24" s="188">
        <f t="shared" ref="E24:E25" si="35">SUM(C24:D24)</f>
        <v>44430831.576717697</v>
      </c>
      <c r="F24" s="188">
        <v>30613784.309579305</v>
      </c>
      <c r="G24" s="189">
        <f t="shared" ref="G24:G25" si="36">SUM(E24:F24)</f>
        <v>75044615.886297002</v>
      </c>
      <c r="I24" s="183" t="s">
        <v>267</v>
      </c>
      <c r="J24" s="188">
        <v>11359483.26</v>
      </c>
      <c r="K24" s="188">
        <v>1184458.3700000001</v>
      </c>
      <c r="L24" s="188">
        <f t="shared" ref="L24:L25" si="37">SUM(J24:K24)</f>
        <v>12543941.629999999</v>
      </c>
      <c r="M24" s="188">
        <v>0</v>
      </c>
      <c r="N24" s="189">
        <f t="shared" ref="N24:N25" si="38">SUM(L24:M24)</f>
        <v>12543941.629999999</v>
      </c>
      <c r="P24" s="183" t="s">
        <v>267</v>
      </c>
      <c r="Q24" s="187">
        <f t="shared" ref="Q24:Q25" si="39">SUM(C24,J24)</f>
        <v>51884915.076717697</v>
      </c>
      <c r="R24" s="187">
        <f t="shared" ref="R24:R25" si="40">SUM(D24,K24)</f>
        <v>5089858.1300000008</v>
      </c>
      <c r="S24" s="188">
        <f ca="1">SUM(Q24:R34)</f>
        <v>737427975612.9342</v>
      </c>
      <c r="T24" s="188">
        <f t="shared" ref="T24:T25" si="41">SUM(F24,M24)</f>
        <v>30613784.309579305</v>
      </c>
      <c r="U24" s="189">
        <f t="shared" ref="U24:U25" ca="1" si="42">SUM(S24:T24)</f>
        <v>737458589397.24377</v>
      </c>
    </row>
    <row r="25" spans="2:21" ht="16.5" customHeight="1" x14ac:dyDescent="0.35">
      <c r="B25" s="183" t="s">
        <v>268</v>
      </c>
      <c r="C25" s="188">
        <v>73683243.6438054</v>
      </c>
      <c r="D25" s="188">
        <v>21955334.289999999</v>
      </c>
      <c r="E25" s="188">
        <f t="shared" si="35"/>
        <v>95638577.933805406</v>
      </c>
      <c r="F25" s="188">
        <v>32643055.795471098</v>
      </c>
      <c r="G25" s="189">
        <f t="shared" si="36"/>
        <v>128281633.72927651</v>
      </c>
      <c r="I25" s="183" t="s">
        <v>268</v>
      </c>
      <c r="J25" s="188">
        <v>18866753.113000002</v>
      </c>
      <c r="K25" s="188">
        <v>7373142.9500000002</v>
      </c>
      <c r="L25" s="188">
        <f t="shared" si="37"/>
        <v>26239896.063000001</v>
      </c>
      <c r="M25" s="188">
        <v>0</v>
      </c>
      <c r="N25" s="189">
        <f t="shared" si="38"/>
        <v>26239896.063000001</v>
      </c>
      <c r="P25" s="183" t="s">
        <v>268</v>
      </c>
      <c r="Q25" s="187">
        <f t="shared" si="39"/>
        <v>92549996.756805405</v>
      </c>
      <c r="R25" s="187">
        <f t="shared" si="40"/>
        <v>29328477.239999998</v>
      </c>
      <c r="S25" s="188">
        <f ca="1">SUM(Q25:R35)</f>
        <v>737648202076.0575</v>
      </c>
      <c r="T25" s="188">
        <f t="shared" si="41"/>
        <v>32643055.795471098</v>
      </c>
      <c r="U25" s="189">
        <f t="shared" ca="1" si="42"/>
        <v>737680845131.85291</v>
      </c>
    </row>
    <row r="26" spans="2:21" ht="16.5" customHeight="1" thickBot="1" x14ac:dyDescent="0.4">
      <c r="B26" s="185" t="s">
        <v>148</v>
      </c>
      <c r="C26" s="194">
        <f>SUM(C23:C25)</f>
        <v>159701079.0330525</v>
      </c>
      <c r="D26" s="194">
        <f t="shared" ref="D26:G26" si="43">SUM(D23:D25)</f>
        <v>37303536.049999997</v>
      </c>
      <c r="E26" s="194">
        <f t="shared" si="43"/>
        <v>197004615.08305252</v>
      </c>
      <c r="F26" s="194">
        <f t="shared" si="43"/>
        <v>86336573.651520997</v>
      </c>
      <c r="G26" s="195">
        <f t="shared" si="43"/>
        <v>283341188.73457348</v>
      </c>
      <c r="I26" s="185" t="s">
        <v>148</v>
      </c>
      <c r="J26" s="194">
        <f>SUM(J23:J25)</f>
        <v>41526317.294</v>
      </c>
      <c r="K26" s="194">
        <f t="shared" ref="K26" si="44">SUM(K23:K25)</f>
        <v>11594597.17</v>
      </c>
      <c r="L26" s="194">
        <f t="shared" ref="L26" si="45">SUM(L23:L25)</f>
        <v>53120914.464000002</v>
      </c>
      <c r="M26" s="194">
        <f t="shared" ref="M26" si="46">SUM(M23:M25)</f>
        <v>0</v>
      </c>
      <c r="N26" s="195">
        <f t="shared" ref="N26" si="47">SUM(N23:N25)</f>
        <v>53120914.464000002</v>
      </c>
      <c r="P26" s="185" t="s">
        <v>148</v>
      </c>
      <c r="Q26" s="194">
        <f>SUM(Q33:Q35)</f>
        <v>401639905.78999996</v>
      </c>
      <c r="R26" s="194">
        <f t="shared" ref="R26" si="48">SUM(R23:R25)</f>
        <v>48898133.219999999</v>
      </c>
      <c r="S26" s="194">
        <f t="shared" ref="S26" ca="1" si="49">SUM(S23:S25)</f>
        <v>2212300028546.4297</v>
      </c>
      <c r="T26" s="194">
        <f t="shared" ref="T26" si="50">SUM(T23:T25)</f>
        <v>86336573.651520997</v>
      </c>
      <c r="U26" s="195">
        <f t="shared" ref="U26" ca="1" si="51">SUM(U23:U25)</f>
        <v>2212386365120.0811</v>
      </c>
    </row>
    <row r="27" spans="2:21" s="48" customFormat="1" ht="47.15" customHeight="1" x14ac:dyDescent="0.35">
      <c r="B27" s="182" t="s">
        <v>100</v>
      </c>
      <c r="C27" s="21" t="s">
        <v>269</v>
      </c>
      <c r="D27" s="21" t="s">
        <v>270</v>
      </c>
      <c r="E27" s="186" t="s">
        <v>21</v>
      </c>
      <c r="F27" s="181"/>
      <c r="G27" s="181"/>
      <c r="I27" s="182" t="s">
        <v>100</v>
      </c>
      <c r="J27" s="21" t="s">
        <v>269</v>
      </c>
      <c r="K27" s="21" t="s">
        <v>270</v>
      </c>
      <c r="L27" s="186" t="s">
        <v>21</v>
      </c>
      <c r="M27" s="181"/>
      <c r="N27" s="181"/>
      <c r="P27" s="182" t="s">
        <v>100</v>
      </c>
      <c r="Q27" s="21" t="s">
        <v>269</v>
      </c>
      <c r="R27" s="21" t="s">
        <v>270</v>
      </c>
      <c r="S27" s="186" t="s">
        <v>21</v>
      </c>
      <c r="T27" s="181"/>
      <c r="U27" s="181"/>
    </row>
    <row r="28" spans="2:21" ht="16.5" customHeight="1" x14ac:dyDescent="0.35">
      <c r="B28" s="61">
        <v>2018</v>
      </c>
      <c r="C28" s="188">
        <v>102247235.25</v>
      </c>
      <c r="D28" s="188">
        <v>98689801</v>
      </c>
      <c r="E28" s="196">
        <f>C28/D28</f>
        <v>1.0360466250205531</v>
      </c>
      <c r="F28" s="56"/>
      <c r="G28" s="56"/>
      <c r="I28" s="61">
        <v>2018</v>
      </c>
      <c r="J28" s="188">
        <v>16960154.43</v>
      </c>
      <c r="K28" s="188">
        <v>15667311.84</v>
      </c>
      <c r="L28" s="196">
        <f>J28/K28</f>
        <v>1.0825184692309029</v>
      </c>
      <c r="M28" s="56"/>
      <c r="N28" s="56"/>
      <c r="P28" s="61">
        <v>2018</v>
      </c>
      <c r="Q28" s="188">
        <f>SUM(C28,J28)</f>
        <v>119207389.68000001</v>
      </c>
      <c r="R28" s="188">
        <f>SUM(D28,K28)</f>
        <v>114357112.84</v>
      </c>
      <c r="S28" s="196">
        <f>Q38/R28</f>
        <v>0.28021696057362616</v>
      </c>
      <c r="T28" s="56"/>
      <c r="U28" s="56"/>
    </row>
    <row r="29" spans="2:21" ht="16.5" customHeight="1" x14ac:dyDescent="0.35">
      <c r="B29" s="61">
        <v>2019</v>
      </c>
      <c r="C29" s="188">
        <v>96007537.799999997</v>
      </c>
      <c r="D29" s="188">
        <v>98689801</v>
      </c>
      <c r="E29" s="196">
        <f t="shared" ref="E29:E31" si="52">C29/D29</f>
        <v>0.97282127258519846</v>
      </c>
      <c r="F29" s="56"/>
      <c r="G29" s="56"/>
      <c r="I29" s="61">
        <v>2019</v>
      </c>
      <c r="J29" s="188">
        <v>15095104.890000001</v>
      </c>
      <c r="K29" s="188">
        <v>15360706.439999999</v>
      </c>
      <c r="L29" s="196">
        <f t="shared" ref="L29:L31" si="53">J29/K29</f>
        <v>0.98270902767151647</v>
      </c>
      <c r="M29" s="56"/>
      <c r="N29" s="56"/>
      <c r="P29" s="61">
        <v>2019</v>
      </c>
      <c r="Q29" s="188">
        <f t="shared" ref="Q29:R31" si="54">SUM(C29,J29)</f>
        <v>111102642.69</v>
      </c>
      <c r="R29" s="188">
        <f t="shared" si="54"/>
        <v>114050507.44</v>
      </c>
      <c r="S29" s="196">
        <f>Q39/R29</f>
        <v>0</v>
      </c>
      <c r="T29" s="56"/>
      <c r="U29" s="56"/>
    </row>
    <row r="30" spans="2:21" ht="16.5" customHeight="1" x14ac:dyDescent="0.35">
      <c r="B30" s="61">
        <v>2020</v>
      </c>
      <c r="C30" s="188">
        <v>98400656.209999993</v>
      </c>
      <c r="D30" s="188">
        <v>98689800.997999996</v>
      </c>
      <c r="E30" s="196">
        <f t="shared" si="52"/>
        <v>0.99707016545705807</v>
      </c>
      <c r="F30" s="56"/>
      <c r="G30" s="56"/>
      <c r="I30" s="61">
        <v>2020</v>
      </c>
      <c r="J30" s="188">
        <v>14975163</v>
      </c>
      <c r="K30" s="188">
        <v>15575955.0169142</v>
      </c>
      <c r="L30" s="196">
        <f t="shared" si="53"/>
        <v>0.96142823882954276</v>
      </c>
      <c r="M30" s="56"/>
      <c r="N30" s="56"/>
      <c r="P30" s="61">
        <v>2020</v>
      </c>
      <c r="Q30" s="188">
        <f t="shared" si="54"/>
        <v>113375819.20999999</v>
      </c>
      <c r="R30" s="188">
        <f t="shared" si="54"/>
        <v>114265756.0149142</v>
      </c>
      <c r="S30" s="196">
        <f t="shared" ref="S30:S31" si="55">Q30/R30</f>
        <v>0.9922116928469974</v>
      </c>
      <c r="T30" s="56"/>
      <c r="U30" s="56"/>
    </row>
    <row r="31" spans="2:21" ht="16.5" customHeight="1" x14ac:dyDescent="0.35">
      <c r="B31" s="61">
        <v>2021</v>
      </c>
      <c r="C31" s="188">
        <v>99465648.870000005</v>
      </c>
      <c r="D31" s="188">
        <v>98689801</v>
      </c>
      <c r="E31" s="196">
        <f t="shared" si="52"/>
        <v>1.0078614797287919</v>
      </c>
      <c r="F31" s="56"/>
      <c r="G31" s="56"/>
      <c r="I31" s="61">
        <v>2021</v>
      </c>
      <c r="J31" s="188">
        <v>15033270.055786902</v>
      </c>
      <c r="K31" s="188">
        <v>15731743.369344199</v>
      </c>
      <c r="L31" s="196">
        <f t="shared" si="53"/>
        <v>0.95560102290262483</v>
      </c>
      <c r="M31" s="56"/>
      <c r="N31" s="56"/>
      <c r="P31" s="61">
        <v>2021</v>
      </c>
      <c r="Q31" s="188">
        <f t="shared" si="54"/>
        <v>114498918.92578691</v>
      </c>
      <c r="R31" s="188">
        <f t="shared" si="54"/>
        <v>114421544.3693442</v>
      </c>
      <c r="S31" s="196">
        <f t="shared" si="55"/>
        <v>1.0006762236680966</v>
      </c>
      <c r="T31" s="56"/>
      <c r="U31" s="56"/>
    </row>
    <row r="32" spans="2:21" ht="16.5" customHeight="1" thickBot="1" x14ac:dyDescent="0.4">
      <c r="B32" s="185" t="s">
        <v>150</v>
      </c>
      <c r="C32" s="194">
        <f>SUM(C28:C31)</f>
        <v>396121078.13</v>
      </c>
      <c r="D32" s="194">
        <f>SUM(D28:D31)</f>
        <v>394759203.99800003</v>
      </c>
      <c r="E32" s="197">
        <f>C32/D32</f>
        <v>1.0034498856979326</v>
      </c>
      <c r="F32" s="56"/>
      <c r="G32" s="56"/>
      <c r="I32" s="185" t="s">
        <v>150</v>
      </c>
      <c r="J32" s="194">
        <f>SUM(J28:J31)</f>
        <v>62063692.375786901</v>
      </c>
      <c r="K32" s="194">
        <f>SUM(K28:K31)</f>
        <v>62335716.666258402</v>
      </c>
      <c r="L32" s="197">
        <f>J32/K32</f>
        <v>0.99563614080306639</v>
      </c>
      <c r="M32" s="56"/>
      <c r="N32" s="56"/>
      <c r="P32" s="185" t="s">
        <v>150</v>
      </c>
      <c r="Q32" s="194">
        <f ca="1">SUM(Q31:Q38)</f>
        <v>736122397215.45203</v>
      </c>
      <c r="R32" s="194">
        <f>SUM(R28:R31)</f>
        <v>457094920.66425836</v>
      </c>
      <c r="S32" s="197">
        <f ca="1">Q32/R32</f>
        <v>1610.4366159783749</v>
      </c>
      <c r="T32" s="56"/>
      <c r="U32" s="56"/>
    </row>
    <row r="33" spans="2:21" ht="14.5" customHeight="1" x14ac:dyDescent="0.35">
      <c r="B33" s="61">
        <v>2022</v>
      </c>
      <c r="C33" s="210">
        <v>103997826.45</v>
      </c>
      <c r="D33" s="188">
        <v>119489180</v>
      </c>
      <c r="E33" s="196">
        <f>C33/D33</f>
        <v>0.8703535035557195</v>
      </c>
      <c r="F33" s="56"/>
      <c r="G33" s="56"/>
      <c r="I33" s="61">
        <v>2022</v>
      </c>
      <c r="J33" s="210">
        <v>15503826.17</v>
      </c>
      <c r="K33" s="188">
        <v>16295291</v>
      </c>
      <c r="L33" s="196">
        <f>J33/K33</f>
        <v>0.95142984375056572</v>
      </c>
      <c r="M33" s="56"/>
      <c r="N33" s="56"/>
      <c r="P33" s="61">
        <v>2022</v>
      </c>
      <c r="Q33" s="188">
        <f>SUM(C33,J33)</f>
        <v>119501652.62</v>
      </c>
      <c r="R33" s="188">
        <f>SUM(D33,K33)</f>
        <v>135784471</v>
      </c>
      <c r="S33" s="196">
        <f>Q33/R33</f>
        <v>0.88008335371428448</v>
      </c>
      <c r="T33" s="56"/>
      <c r="U33" s="56"/>
    </row>
    <row r="34" spans="2:21" x14ac:dyDescent="0.35">
      <c r="B34" s="61">
        <v>2023</v>
      </c>
      <c r="C34" s="188">
        <v>123091264.47</v>
      </c>
      <c r="D34" s="188">
        <v>118701009</v>
      </c>
      <c r="E34" s="196">
        <f t="shared" ref="E34:E36" si="56">C34/D34</f>
        <v>1.0369858310976952</v>
      </c>
      <c r="I34" s="61">
        <v>2023</v>
      </c>
      <c r="J34" s="188">
        <v>17171631.370000001</v>
      </c>
      <c r="K34" s="188">
        <v>16433133</v>
      </c>
      <c r="L34" s="196">
        <f t="shared" ref="L34:L36" si="57">J34/K34</f>
        <v>1.0449395967281467</v>
      </c>
      <c r="P34" s="61">
        <v>2023</v>
      </c>
      <c r="Q34" s="188">
        <f t="shared" ref="Q34:R36" si="58">SUM(C34,J34)</f>
        <v>140262895.84</v>
      </c>
      <c r="R34" s="188">
        <f t="shared" si="58"/>
        <v>135134142</v>
      </c>
      <c r="S34" s="196">
        <f t="shared" ref="S34:S36" si="59">Q34/R34</f>
        <v>1.0379530573406091</v>
      </c>
    </row>
    <row r="35" spans="2:21" x14ac:dyDescent="0.35">
      <c r="B35" s="61">
        <v>2024</v>
      </c>
      <c r="C35" s="188">
        <v>124777897.59999999</v>
      </c>
      <c r="D35" s="188">
        <v>118701009</v>
      </c>
      <c r="E35" s="196">
        <f t="shared" si="56"/>
        <v>1.0511949194972723</v>
      </c>
      <c r="I35" s="61">
        <v>2024</v>
      </c>
      <c r="J35" s="188">
        <v>17097459.73</v>
      </c>
      <c r="K35" s="188">
        <v>16624870</v>
      </c>
      <c r="L35" s="196">
        <f t="shared" si="57"/>
        <v>1.0284266722085647</v>
      </c>
      <c r="P35" s="61">
        <v>2024</v>
      </c>
      <c r="Q35" s="188">
        <f t="shared" si="58"/>
        <v>141875357.32999998</v>
      </c>
      <c r="R35" s="188">
        <f t="shared" si="58"/>
        <v>135325879</v>
      </c>
      <c r="S35" s="196">
        <f t="shared" si="59"/>
        <v>1.0483978258881288</v>
      </c>
    </row>
    <row r="36" spans="2:21" x14ac:dyDescent="0.35">
      <c r="B36" s="61">
        <v>2025</v>
      </c>
      <c r="C36" s="188">
        <v>122444097.03</v>
      </c>
      <c r="D36" s="188">
        <v>118701009</v>
      </c>
      <c r="E36" s="196">
        <f t="shared" si="56"/>
        <v>1.0315337507366935</v>
      </c>
      <c r="I36" s="61">
        <v>2025</v>
      </c>
      <c r="J36" s="188">
        <v>16079467.439999999</v>
      </c>
      <c r="K36" s="188">
        <v>16701258</v>
      </c>
      <c r="L36" s="196">
        <f t="shared" si="57"/>
        <v>0.96276983685899586</v>
      </c>
      <c r="P36" s="61">
        <v>2025</v>
      </c>
      <c r="Q36" s="188">
        <f t="shared" si="58"/>
        <v>138523564.47</v>
      </c>
      <c r="R36" s="188">
        <f t="shared" si="58"/>
        <v>135402267</v>
      </c>
      <c r="S36" s="196">
        <f t="shared" si="59"/>
        <v>1.0230520325778594</v>
      </c>
    </row>
    <row r="37" spans="2:21" ht="15" thickBot="1" x14ac:dyDescent="0.4">
      <c r="B37" s="185" t="s">
        <v>152</v>
      </c>
      <c r="C37" s="194">
        <f>SUM(C33:C36)</f>
        <v>474311085.54999995</v>
      </c>
      <c r="D37" s="194">
        <f>SUM(D33:D36)</f>
        <v>475592207</v>
      </c>
      <c r="E37" s="197">
        <f>C37/D37</f>
        <v>0.99730626063433359</v>
      </c>
      <c r="I37" s="185" t="s">
        <v>152</v>
      </c>
      <c r="J37" s="194">
        <f>SUM(J33:J36)</f>
        <v>65852384.709999993</v>
      </c>
      <c r="K37" s="194">
        <f>SUM(K33:K36)</f>
        <v>66054552</v>
      </c>
      <c r="L37" s="197">
        <f>J37/K37</f>
        <v>0.99693938897655365</v>
      </c>
      <c r="P37" s="185" t="s">
        <v>152</v>
      </c>
      <c r="Q37" s="194">
        <f>SUM(Q33:Q36)</f>
        <v>540163470.25999999</v>
      </c>
      <c r="R37" s="194">
        <f>SUM(R33:R36)</f>
        <v>541646759</v>
      </c>
      <c r="S37" s="197">
        <f>Q37/R37</f>
        <v>0.99726152014139535</v>
      </c>
    </row>
    <row r="38" spans="2:21" x14ac:dyDescent="0.35">
      <c r="B38" s="61">
        <v>2026</v>
      </c>
      <c r="C38" s="210">
        <f>'2- Costs'!C30</f>
        <v>26641876.890000001</v>
      </c>
      <c r="D38" s="188">
        <v>126119822</v>
      </c>
      <c r="E38" s="196">
        <f>IF(C38=0,"NA",(C38/D38))</f>
        <v>0.21124258239121207</v>
      </c>
      <c r="I38" s="61">
        <v>2026</v>
      </c>
      <c r="J38" s="210">
        <f>'2- Costs'!D30</f>
        <v>5402925.6900000004</v>
      </c>
      <c r="K38" s="188">
        <v>19184428</v>
      </c>
      <c r="L38" s="196">
        <f>IF(J38=0,"NA",(J38/K38))</f>
        <v>0.28163079399604724</v>
      </c>
      <c r="M38" s="56"/>
      <c r="N38" s="56"/>
      <c r="P38" s="61">
        <v>2022</v>
      </c>
      <c r="Q38" s="188">
        <f>SUM(C38,J38)</f>
        <v>32044802.580000002</v>
      </c>
      <c r="R38" s="188">
        <f>SUM(D38,K38)</f>
        <v>145304250</v>
      </c>
      <c r="S38" s="196">
        <f>IF(Q38=0,"NA",(Q38/R38))</f>
        <v>0.22053589334104132</v>
      </c>
    </row>
    <row r="39" spans="2:21" x14ac:dyDescent="0.35">
      <c r="B39" s="61">
        <v>2027</v>
      </c>
      <c r="C39" s="188"/>
      <c r="D39" s="188"/>
      <c r="E39" s="196" t="str">
        <f t="shared" ref="E39:E42" si="60">IF(C39=0,"NA",(C39/D39))</f>
        <v>NA</v>
      </c>
      <c r="I39" s="61">
        <v>2027</v>
      </c>
      <c r="J39" s="188"/>
      <c r="K39" s="188"/>
      <c r="L39" s="196" t="str">
        <f t="shared" ref="L39:L42" si="61">IF(J39=0,"NA",(J39/K39))</f>
        <v>NA</v>
      </c>
      <c r="P39" s="61">
        <v>2023</v>
      </c>
      <c r="Q39" s="188">
        <f t="shared" ref="Q39:Q41" si="62">SUM(C39,J39)</f>
        <v>0</v>
      </c>
      <c r="R39" s="188">
        <f t="shared" ref="R39:R41" si="63">SUM(D39,K39)</f>
        <v>0</v>
      </c>
      <c r="S39" s="196" t="str">
        <f t="shared" ref="S39:S42" si="64">IF(Q39=0,"NA",(Q39/R39))</f>
        <v>NA</v>
      </c>
    </row>
    <row r="40" spans="2:21" x14ac:dyDescent="0.35">
      <c r="B40" s="61">
        <v>2028</v>
      </c>
      <c r="C40" s="188"/>
      <c r="D40" s="188"/>
      <c r="E40" s="196" t="str">
        <f t="shared" si="60"/>
        <v>NA</v>
      </c>
      <c r="I40" s="61">
        <v>2028</v>
      </c>
      <c r="J40" s="188"/>
      <c r="K40" s="188"/>
      <c r="L40" s="196" t="str">
        <f t="shared" si="61"/>
        <v>NA</v>
      </c>
      <c r="P40" s="61">
        <v>2024</v>
      </c>
      <c r="Q40" s="188">
        <f t="shared" si="62"/>
        <v>0</v>
      </c>
      <c r="R40" s="188">
        <f t="shared" si="63"/>
        <v>0</v>
      </c>
      <c r="S40" s="196" t="str">
        <f t="shared" si="64"/>
        <v>NA</v>
      </c>
    </row>
    <row r="41" spans="2:21" x14ac:dyDescent="0.35">
      <c r="B41" s="61">
        <v>2029</v>
      </c>
      <c r="C41" s="188"/>
      <c r="D41" s="188"/>
      <c r="E41" s="196" t="str">
        <f t="shared" si="60"/>
        <v>NA</v>
      </c>
      <c r="I41" s="61">
        <v>2029</v>
      </c>
      <c r="J41" s="188"/>
      <c r="K41" s="188"/>
      <c r="L41" s="196" t="str">
        <f t="shared" si="61"/>
        <v>NA</v>
      </c>
      <c r="P41" s="61">
        <v>2025</v>
      </c>
      <c r="Q41" s="188">
        <f t="shared" si="62"/>
        <v>0</v>
      </c>
      <c r="R41" s="188">
        <f t="shared" si="63"/>
        <v>0</v>
      </c>
      <c r="S41" s="196" t="str">
        <f t="shared" si="64"/>
        <v>NA</v>
      </c>
    </row>
    <row r="42" spans="2:21" ht="15" thickBot="1" x14ac:dyDescent="0.4">
      <c r="B42" s="185" t="s">
        <v>271</v>
      </c>
      <c r="C42" s="194">
        <f>SUM(C38:C41)</f>
        <v>26641876.890000001</v>
      </c>
      <c r="D42" s="194">
        <f>SUM(D38:D41)</f>
        <v>126119822</v>
      </c>
      <c r="E42" s="197">
        <f t="shared" si="60"/>
        <v>0.21124258239121207</v>
      </c>
      <c r="I42" s="185" t="s">
        <v>271</v>
      </c>
      <c r="J42" s="194">
        <f>SUM(J38:J41)</f>
        <v>5402925.6900000004</v>
      </c>
      <c r="K42" s="194">
        <f>SUM(K38:K41)</f>
        <v>19184428</v>
      </c>
      <c r="L42" s="197">
        <f t="shared" si="61"/>
        <v>0.28163079399604724</v>
      </c>
      <c r="P42" s="185" t="s">
        <v>271</v>
      </c>
      <c r="Q42" s="194">
        <f>SUM(Q38:Q41)</f>
        <v>32044802.580000002</v>
      </c>
      <c r="R42" s="194">
        <f>SUM(R38:R41)</f>
        <v>145304250</v>
      </c>
      <c r="S42" s="197">
        <f t="shared" si="64"/>
        <v>0.22053589334104132</v>
      </c>
    </row>
  </sheetData>
  <mergeCells count="4">
    <mergeCell ref="B5:G9"/>
    <mergeCell ref="B13:G13"/>
    <mergeCell ref="I13:N13"/>
    <mergeCell ref="P13:U13"/>
  </mergeCells>
  <printOptions headings="1"/>
  <pageMargins left="0.7" right="0.7" top="0.75" bottom="0.75" header="0.3" footer="0.3"/>
  <pageSetup scale="70" orientation="portrait" r:id="rId1"/>
  <ignoredErrors>
    <ignoredError sqref="E18:E22 G18:G22 T18:T19 T22 S15:S19 Q18:R18 R22 R32 T23:T25 T15 J18:N18 L22:N22 S22 S26" formula="1"/>
    <ignoredError sqref="E28:E37 S30:S37"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2C4DE-CD69-411F-ADC2-5AB092CC9535}">
  <dimension ref="A1:D50"/>
  <sheetViews>
    <sheetView workbookViewId="0"/>
  </sheetViews>
  <sheetFormatPr defaultColWidth="9.1796875" defaultRowHeight="14.5" x14ac:dyDescent="0.35"/>
  <cols>
    <col min="1" max="1" width="4.7265625" style="45" customWidth="1"/>
    <col min="2" max="2" width="174.7265625" style="45" customWidth="1"/>
    <col min="3" max="16384" width="9.1796875" style="45"/>
  </cols>
  <sheetData>
    <row r="1" spans="1:4" x14ac:dyDescent="0.35">
      <c r="A1" s="45" t="s">
        <v>272</v>
      </c>
      <c r="B1" s="46" t="s">
        <v>273</v>
      </c>
    </row>
    <row r="2" spans="1:4" x14ac:dyDescent="0.35">
      <c r="B2" s="46" t="s">
        <v>274</v>
      </c>
      <c r="D2" s="341"/>
    </row>
    <row r="3" spans="1:4" x14ac:dyDescent="0.35">
      <c r="B3" s="46" t="s">
        <v>275</v>
      </c>
    </row>
    <row r="5" spans="1:4" ht="14.5" customHeight="1" x14ac:dyDescent="0.35">
      <c r="B5" s="321" t="s">
        <v>276</v>
      </c>
    </row>
    <row r="6" spans="1:4" x14ac:dyDescent="0.35">
      <c r="B6" s="320" t="s">
        <v>277</v>
      </c>
    </row>
    <row r="7" spans="1:4" x14ac:dyDescent="0.35">
      <c r="B7" s="314" t="s">
        <v>278</v>
      </c>
    </row>
    <row r="8" spans="1:4" x14ac:dyDescent="0.35">
      <c r="B8" s="317" t="s">
        <v>279</v>
      </c>
    </row>
    <row r="9" spans="1:4" x14ac:dyDescent="0.35">
      <c r="B9" s="319" t="s">
        <v>280</v>
      </c>
    </row>
    <row r="10" spans="1:4" x14ac:dyDescent="0.35">
      <c r="B10" s="318" t="s">
        <v>281</v>
      </c>
    </row>
    <row r="11" spans="1:4" x14ac:dyDescent="0.35">
      <c r="B11" s="317" t="s">
        <v>282</v>
      </c>
    </row>
    <row r="12" spans="1:4" ht="28" x14ac:dyDescent="0.35">
      <c r="B12" s="316" t="s">
        <v>283</v>
      </c>
    </row>
    <row r="13" spans="1:4" ht="30" customHeight="1" x14ac:dyDescent="0.35">
      <c r="B13" s="315" t="s">
        <v>284</v>
      </c>
    </row>
    <row r="14" spans="1:4" x14ac:dyDescent="0.35">
      <c r="B14" s="314" t="s">
        <v>285</v>
      </c>
    </row>
    <row r="15" spans="1:4" x14ac:dyDescent="0.35">
      <c r="B15" s="314" t="s">
        <v>286</v>
      </c>
    </row>
    <row r="16" spans="1:4" x14ac:dyDescent="0.35">
      <c r="B16" s="313"/>
    </row>
    <row r="18" spans="2:2" x14ac:dyDescent="0.35">
      <c r="B18" s="312"/>
    </row>
    <row r="50" spans="2:2" ht="42.5" x14ac:dyDescent="0.35">
      <c r="B50" s="409" t="s">
        <v>287</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C3711-758A-4037-BEF2-9A969AD5CC96}">
  <dimension ref="A1:B21"/>
  <sheetViews>
    <sheetView workbookViewId="0"/>
  </sheetViews>
  <sheetFormatPr defaultColWidth="9.1796875" defaultRowHeight="14.5" x14ac:dyDescent="0.35"/>
  <cols>
    <col min="1" max="1" width="4.7265625" style="45" customWidth="1"/>
    <col min="2" max="2" width="174.7265625" style="45" customWidth="1"/>
    <col min="3" max="16384" width="9.1796875" style="45"/>
  </cols>
  <sheetData>
    <row r="1" spans="1:2" x14ac:dyDescent="0.35">
      <c r="A1" s="45" t="s">
        <v>272</v>
      </c>
      <c r="B1" s="46" t="s">
        <v>273</v>
      </c>
    </row>
    <row r="2" spans="1:2" x14ac:dyDescent="0.35">
      <c r="B2" s="46" t="s">
        <v>288</v>
      </c>
    </row>
    <row r="3" spans="1:2" x14ac:dyDescent="0.35">
      <c r="B3" s="46" t="s">
        <v>275</v>
      </c>
    </row>
    <row r="4" spans="1:2" ht="14.5" customHeight="1" x14ac:dyDescent="0.35"/>
    <row r="5" spans="1:2" ht="14.5" customHeight="1" x14ac:dyDescent="0.35">
      <c r="B5" s="321"/>
    </row>
    <row r="6" spans="1:2" x14ac:dyDescent="0.35">
      <c r="B6" s="320" t="s">
        <v>277</v>
      </c>
    </row>
    <row r="7" spans="1:2" x14ac:dyDescent="0.35">
      <c r="B7" s="314" t="s">
        <v>278</v>
      </c>
    </row>
    <row r="8" spans="1:2" x14ac:dyDescent="0.35">
      <c r="B8" s="317" t="s">
        <v>279</v>
      </c>
    </row>
    <row r="9" spans="1:2" x14ac:dyDescent="0.35">
      <c r="B9" s="319" t="s">
        <v>280</v>
      </c>
    </row>
    <row r="10" spans="1:2" x14ac:dyDescent="0.35">
      <c r="B10" s="318" t="s">
        <v>281</v>
      </c>
    </row>
    <row r="11" spans="1:2" x14ac:dyDescent="0.35">
      <c r="B11" s="317" t="s">
        <v>289</v>
      </c>
    </row>
    <row r="12" spans="1:2" x14ac:dyDescent="0.35">
      <c r="B12" s="319" t="s">
        <v>290</v>
      </c>
    </row>
    <row r="13" spans="1:2" x14ac:dyDescent="0.35">
      <c r="B13" s="318" t="s">
        <v>291</v>
      </c>
    </row>
    <row r="14" spans="1:2" x14ac:dyDescent="0.35">
      <c r="B14" s="314" t="s">
        <v>285</v>
      </c>
    </row>
    <row r="15" spans="1:2" x14ac:dyDescent="0.35">
      <c r="B15" s="314" t="s">
        <v>286</v>
      </c>
    </row>
    <row r="16" spans="1:2" x14ac:dyDescent="0.35">
      <c r="B16" s="313"/>
    </row>
    <row r="18" spans="2:2" x14ac:dyDescent="0.35">
      <c r="B18" s="312"/>
    </row>
    <row r="19" spans="2:2" x14ac:dyDescent="0.35">
      <c r="B19" s="88" t="s">
        <v>292</v>
      </c>
    </row>
    <row r="21" spans="2:2" x14ac:dyDescent="0.35">
      <c r="B21" s="32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5FA67-9EF4-42DE-AE1D-4C5E36BD02FF}">
  <dimension ref="B1:H65"/>
  <sheetViews>
    <sheetView workbookViewId="0"/>
  </sheetViews>
  <sheetFormatPr defaultColWidth="9.1796875" defaultRowHeight="14.5" x14ac:dyDescent="0.35"/>
  <cols>
    <col min="1" max="1" width="4.7265625" style="45" customWidth="1"/>
    <col min="2" max="2" width="14.54296875" style="45" customWidth="1"/>
    <col min="3" max="3" width="35.54296875" style="45" customWidth="1"/>
    <col min="4" max="7" width="20.7265625" style="323" customWidth="1"/>
    <col min="8" max="8" width="9.26953125" style="45" customWidth="1"/>
    <col min="9" max="16384" width="9.1796875" style="45"/>
  </cols>
  <sheetData>
    <row r="1" spans="2:8" x14ac:dyDescent="0.35">
      <c r="B1" s="46" t="s">
        <v>273</v>
      </c>
    </row>
    <row r="2" spans="2:8" x14ac:dyDescent="0.35">
      <c r="B2" s="46" t="s">
        <v>293</v>
      </c>
    </row>
    <row r="3" spans="2:8" x14ac:dyDescent="0.35">
      <c r="B3" s="46" t="s">
        <v>275</v>
      </c>
      <c r="E3" s="374"/>
      <c r="F3" s="374"/>
      <c r="G3" s="374"/>
    </row>
    <row r="5" spans="2:8" x14ac:dyDescent="0.35">
      <c r="B5" s="396"/>
      <c r="C5" s="397"/>
      <c r="D5" s="398"/>
      <c r="E5" s="398"/>
      <c r="F5" s="398"/>
      <c r="G5" s="398"/>
      <c r="H5" s="399"/>
    </row>
    <row r="6" spans="2:8" x14ac:dyDescent="0.35">
      <c r="B6" s="400" t="s">
        <v>277</v>
      </c>
      <c r="H6" s="401"/>
    </row>
    <row r="7" spans="2:8" x14ac:dyDescent="0.35">
      <c r="B7" s="402" t="s">
        <v>278</v>
      </c>
      <c r="H7" s="401"/>
    </row>
    <row r="8" spans="2:8" x14ac:dyDescent="0.35">
      <c r="B8" s="403" t="s">
        <v>279</v>
      </c>
      <c r="H8" s="401"/>
    </row>
    <row r="9" spans="2:8" x14ac:dyDescent="0.35">
      <c r="B9" s="404" t="s">
        <v>294</v>
      </c>
      <c r="H9" s="401"/>
    </row>
    <row r="10" spans="2:8" x14ac:dyDescent="0.35">
      <c r="B10" s="402" t="s">
        <v>286</v>
      </c>
      <c r="H10" s="401"/>
    </row>
    <row r="11" spans="2:8" x14ac:dyDescent="0.35">
      <c r="B11" s="405"/>
      <c r="C11" s="406"/>
      <c r="D11" s="407"/>
      <c r="E11" s="407"/>
      <c r="F11" s="407"/>
      <c r="G11" s="407"/>
      <c r="H11" s="408"/>
    </row>
    <row r="12" spans="2:8" x14ac:dyDescent="0.35">
      <c r="G12"/>
    </row>
    <row r="13" spans="2:8" ht="21" x14ac:dyDescent="0.5">
      <c r="B13" s="491" t="s">
        <v>295</v>
      </c>
      <c r="C13" s="492"/>
      <c r="D13" s="492"/>
      <c r="E13" s="492"/>
      <c r="F13" s="492"/>
      <c r="G13" s="493"/>
    </row>
    <row r="14" spans="2:8" s="48" customFormat="1" ht="31" x14ac:dyDescent="0.35">
      <c r="B14" s="342" t="s">
        <v>296</v>
      </c>
      <c r="C14" s="343" t="s">
        <v>297</v>
      </c>
      <c r="D14" s="389" t="s">
        <v>298</v>
      </c>
      <c r="E14" s="393" t="s">
        <v>299</v>
      </c>
      <c r="F14" s="394" t="s">
        <v>300</v>
      </c>
      <c r="G14" s="395" t="s">
        <v>301</v>
      </c>
    </row>
    <row r="15" spans="2:8" x14ac:dyDescent="0.35">
      <c r="B15" s="494" t="s">
        <v>302</v>
      </c>
      <c r="C15" s="325" t="s">
        <v>303</v>
      </c>
      <c r="D15" s="324">
        <v>4415399</v>
      </c>
      <c r="E15" s="390">
        <v>4282591</v>
      </c>
      <c r="F15" s="391">
        <f>E15-D15</f>
        <v>-132808</v>
      </c>
      <c r="G15" s="392">
        <f>F15/D15</f>
        <v>-3.0078368908449723E-2</v>
      </c>
    </row>
    <row r="16" spans="2:8" x14ac:dyDescent="0.35">
      <c r="B16" s="494"/>
      <c r="C16" s="325" t="s">
        <v>304</v>
      </c>
      <c r="D16" s="324">
        <v>1684200</v>
      </c>
      <c r="E16" s="324">
        <v>1471475</v>
      </c>
      <c r="F16" s="375">
        <f t="shared" ref="F16:F36" si="0">E16-D16</f>
        <v>-212725</v>
      </c>
      <c r="G16" s="376">
        <f t="shared" ref="G16:G20" si="1">F16/D16</f>
        <v>-0.12630625816411353</v>
      </c>
    </row>
    <row r="17" spans="2:7" x14ac:dyDescent="0.35">
      <c r="B17" s="494"/>
      <c r="C17" s="325" t="s">
        <v>305</v>
      </c>
      <c r="D17" s="324">
        <v>3868249</v>
      </c>
      <c r="E17" s="324">
        <v>3402083</v>
      </c>
      <c r="F17" s="375">
        <f t="shared" si="0"/>
        <v>-466166</v>
      </c>
      <c r="G17" s="376">
        <f t="shared" si="1"/>
        <v>-0.12051085646244593</v>
      </c>
    </row>
    <row r="18" spans="2:7" x14ac:dyDescent="0.35">
      <c r="B18" s="494"/>
      <c r="C18" s="325" t="s">
        <v>306</v>
      </c>
      <c r="D18" s="324">
        <v>520175</v>
      </c>
      <c r="E18" s="324">
        <v>535211</v>
      </c>
      <c r="F18" s="375">
        <f t="shared" si="0"/>
        <v>15036</v>
      </c>
      <c r="G18" s="376">
        <f t="shared" si="1"/>
        <v>2.8905656750132167E-2</v>
      </c>
    </row>
    <row r="19" spans="2:7" x14ac:dyDescent="0.35">
      <c r="B19" s="494"/>
      <c r="C19" s="325" t="s">
        <v>307</v>
      </c>
      <c r="D19" s="372">
        <f>42254718+4464987</f>
        <v>46719705</v>
      </c>
      <c r="E19" s="324">
        <v>47413445</v>
      </c>
      <c r="F19" s="375">
        <f t="shared" si="0"/>
        <v>693740</v>
      </c>
      <c r="G19" s="376">
        <f t="shared" si="1"/>
        <v>1.4848980745918665E-2</v>
      </c>
    </row>
    <row r="20" spans="2:7" x14ac:dyDescent="0.35">
      <c r="B20" s="494"/>
      <c r="C20" s="325" t="s">
        <v>308</v>
      </c>
      <c r="D20" s="372">
        <v>1701097</v>
      </c>
      <c r="E20" s="324">
        <v>1020213</v>
      </c>
      <c r="F20" s="375">
        <f t="shared" si="0"/>
        <v>-680884</v>
      </c>
      <c r="G20" s="376">
        <f t="shared" si="1"/>
        <v>-0.40026171347077799</v>
      </c>
    </row>
    <row r="21" spans="2:7" x14ac:dyDescent="0.35">
      <c r="B21" s="495" t="s">
        <v>309</v>
      </c>
      <c r="C21" s="496"/>
      <c r="D21" s="344">
        <f>SUM(D15:D20)</f>
        <v>58908825</v>
      </c>
      <c r="E21" s="344">
        <f>SUM(E15:E20)</f>
        <v>58125018</v>
      </c>
      <c r="F21" s="344">
        <f t="shared" si="0"/>
        <v>-783807</v>
      </c>
      <c r="G21" s="377">
        <f>F21/D21</f>
        <v>-1.3305425799954421E-2</v>
      </c>
    </row>
    <row r="22" spans="2:7" x14ac:dyDescent="0.35">
      <c r="B22" s="494" t="s">
        <v>310</v>
      </c>
      <c r="C22" s="325" t="s">
        <v>311</v>
      </c>
      <c r="D22" s="372">
        <f>10752711+800617</f>
        <v>11553328</v>
      </c>
      <c r="E22" s="324">
        <v>10343801</v>
      </c>
      <c r="F22" s="375">
        <f t="shared" si="0"/>
        <v>-1209527</v>
      </c>
      <c r="G22" s="376">
        <f>F22/D22</f>
        <v>-0.10469078693169621</v>
      </c>
    </row>
    <row r="23" spans="2:7" x14ac:dyDescent="0.35">
      <c r="B23" s="494"/>
      <c r="C23" s="325" t="s">
        <v>312</v>
      </c>
      <c r="D23" s="372">
        <v>19862984</v>
      </c>
      <c r="E23" s="324">
        <v>12696630</v>
      </c>
      <c r="F23" s="375">
        <f t="shared" si="0"/>
        <v>-7166354</v>
      </c>
      <c r="G23" s="376">
        <f t="shared" ref="G23:G27" si="2">F23/D23</f>
        <v>-0.36078939599407622</v>
      </c>
    </row>
    <row r="24" spans="2:7" x14ac:dyDescent="0.35">
      <c r="B24" s="494"/>
      <c r="C24" s="325" t="s">
        <v>313</v>
      </c>
      <c r="D24" s="324">
        <v>2954735</v>
      </c>
      <c r="E24" s="324">
        <v>6288811</v>
      </c>
      <c r="F24" s="375">
        <f t="shared" si="0"/>
        <v>3334076</v>
      </c>
      <c r="G24" s="376">
        <f t="shared" si="2"/>
        <v>1.128384102127602</v>
      </c>
    </row>
    <row r="25" spans="2:7" x14ac:dyDescent="0.35">
      <c r="B25" s="494"/>
      <c r="C25" s="325" t="s">
        <v>27</v>
      </c>
      <c r="D25" s="372">
        <f>10599360+1174701</f>
        <v>11774061</v>
      </c>
      <c r="E25" s="324">
        <v>16765735</v>
      </c>
      <c r="F25" s="375">
        <f t="shared" si="0"/>
        <v>4991674</v>
      </c>
      <c r="G25" s="376">
        <f t="shared" si="2"/>
        <v>0.42395516721036181</v>
      </c>
    </row>
    <row r="26" spans="2:7" x14ac:dyDescent="0.35">
      <c r="B26" s="494"/>
      <c r="C26" s="325" t="s">
        <v>314</v>
      </c>
      <c r="D26" s="324">
        <v>2082555</v>
      </c>
      <c r="E26" s="324">
        <v>2597201</v>
      </c>
      <c r="F26" s="375">
        <f t="shared" si="0"/>
        <v>514646</v>
      </c>
      <c r="G26" s="376">
        <f t="shared" si="2"/>
        <v>0.24712240493048201</v>
      </c>
    </row>
    <row r="27" spans="2:7" x14ac:dyDescent="0.35">
      <c r="B27" s="494"/>
      <c r="C27" s="325" t="s">
        <v>315</v>
      </c>
      <c r="D27" s="324">
        <v>822079</v>
      </c>
      <c r="E27" s="324">
        <v>858156</v>
      </c>
      <c r="F27" s="375">
        <f t="shared" si="0"/>
        <v>36077</v>
      </c>
      <c r="G27" s="376">
        <f t="shared" si="2"/>
        <v>4.3885076738366995E-2</v>
      </c>
    </row>
    <row r="28" spans="2:7" x14ac:dyDescent="0.35">
      <c r="B28" s="495" t="s">
        <v>316</v>
      </c>
      <c r="C28" s="496"/>
      <c r="D28" s="344">
        <f>SUM(D22:D27)</f>
        <v>49049742</v>
      </c>
      <c r="E28" s="344">
        <f>SUM(E22:E27)</f>
        <v>49550334</v>
      </c>
      <c r="F28" s="344">
        <f t="shared" si="0"/>
        <v>500592</v>
      </c>
      <c r="G28" s="377">
        <f>F28/D28</f>
        <v>1.0205802917373143E-2</v>
      </c>
    </row>
    <row r="29" spans="2:7" ht="15" customHeight="1" x14ac:dyDescent="0.35">
      <c r="B29" s="487" t="s">
        <v>317</v>
      </c>
      <c r="C29" s="325" t="s">
        <v>318</v>
      </c>
      <c r="D29" s="324">
        <v>6305991</v>
      </c>
      <c r="E29" s="324">
        <v>7045841</v>
      </c>
      <c r="F29" s="375">
        <f t="shared" si="0"/>
        <v>739850</v>
      </c>
      <c r="G29" s="376">
        <f>F29/D29</f>
        <v>0.11732493750783976</v>
      </c>
    </row>
    <row r="30" spans="2:7" x14ac:dyDescent="0.35">
      <c r="B30" s="494"/>
      <c r="C30" s="325" t="s">
        <v>319</v>
      </c>
      <c r="D30" s="324">
        <v>3531355</v>
      </c>
      <c r="E30" s="324">
        <v>3539612</v>
      </c>
      <c r="F30" s="375">
        <f t="shared" si="0"/>
        <v>8257</v>
      </c>
      <c r="G30" s="376">
        <f t="shared" ref="G30:G34" si="3">F30/D30</f>
        <v>2.3381959616068054E-3</v>
      </c>
    </row>
    <row r="31" spans="2:7" x14ac:dyDescent="0.35">
      <c r="B31" s="494"/>
      <c r="C31" s="325" t="s">
        <v>320</v>
      </c>
      <c r="D31" s="324">
        <v>3152996</v>
      </c>
      <c r="E31" s="324">
        <v>3135595</v>
      </c>
      <c r="F31" s="375">
        <f t="shared" si="0"/>
        <v>-17401</v>
      </c>
      <c r="G31" s="376">
        <f t="shared" si="3"/>
        <v>-5.5188779180182909E-3</v>
      </c>
    </row>
    <row r="32" spans="2:7" x14ac:dyDescent="0.35">
      <c r="B32" s="494"/>
      <c r="C32" s="325" t="s">
        <v>321</v>
      </c>
      <c r="D32" s="324">
        <v>4414194</v>
      </c>
      <c r="E32" s="324">
        <v>4424515</v>
      </c>
      <c r="F32" s="375">
        <f t="shared" si="0"/>
        <v>10321</v>
      </c>
      <c r="G32" s="376">
        <f t="shared" si="3"/>
        <v>2.3381391937010473E-3</v>
      </c>
    </row>
    <row r="33" spans="2:7" x14ac:dyDescent="0.35">
      <c r="B33" s="494"/>
      <c r="C33" s="325" t="s">
        <v>322</v>
      </c>
      <c r="D33" s="324">
        <v>504479</v>
      </c>
      <c r="E33" s="324">
        <v>504479</v>
      </c>
      <c r="F33" s="375">
        <f t="shared" si="0"/>
        <v>0</v>
      </c>
      <c r="G33" s="376">
        <f t="shared" si="3"/>
        <v>0</v>
      </c>
    </row>
    <row r="34" spans="2:7" x14ac:dyDescent="0.35">
      <c r="B34" s="494"/>
      <c r="C34" s="325" t="s">
        <v>323</v>
      </c>
      <c r="D34" s="324">
        <v>252240</v>
      </c>
      <c r="E34" s="324">
        <v>252240</v>
      </c>
      <c r="F34" s="375">
        <f t="shared" si="0"/>
        <v>0</v>
      </c>
      <c r="G34" s="376">
        <f t="shared" si="3"/>
        <v>0</v>
      </c>
    </row>
    <row r="35" spans="2:7" x14ac:dyDescent="0.35">
      <c r="B35" s="497" t="s">
        <v>324</v>
      </c>
      <c r="C35" s="498"/>
      <c r="D35" s="344">
        <f>SUM(D29:D34)</f>
        <v>18161255</v>
      </c>
      <c r="E35" s="344">
        <f>SUM(E29:E34)</f>
        <v>18902282</v>
      </c>
      <c r="F35" s="344">
        <f t="shared" si="0"/>
        <v>741027</v>
      </c>
      <c r="G35" s="381">
        <f>F35/D35</f>
        <v>4.0802631756450755E-2</v>
      </c>
    </row>
    <row r="36" spans="2:7" s="48" customFormat="1" ht="22" customHeight="1" x14ac:dyDescent="0.35">
      <c r="B36" s="499" t="s">
        <v>325</v>
      </c>
      <c r="C36" s="500"/>
      <c r="D36" s="382">
        <f>D21+D28+D35</f>
        <v>126119822</v>
      </c>
      <c r="E36" s="382">
        <f>E21+E28+E35</f>
        <v>126577634</v>
      </c>
      <c r="F36" s="382">
        <f t="shared" si="0"/>
        <v>457812</v>
      </c>
      <c r="G36" s="383">
        <f>F36/D36</f>
        <v>3.6299765789393518E-3</v>
      </c>
    </row>
    <row r="37" spans="2:7" ht="15" thickBot="1" x14ac:dyDescent="0.4"/>
    <row r="38" spans="2:7" ht="21.5" thickBot="1" x14ac:dyDescent="0.55000000000000004">
      <c r="B38" s="501" t="s">
        <v>326</v>
      </c>
      <c r="C38" s="502"/>
      <c r="D38" s="502"/>
      <c r="E38" s="502"/>
      <c r="F38" s="502"/>
      <c r="G38" s="503"/>
    </row>
    <row r="39" spans="2:7" ht="31" x14ac:dyDescent="0.35">
      <c r="B39" s="329" t="s">
        <v>296</v>
      </c>
      <c r="C39" s="328" t="s">
        <v>297</v>
      </c>
      <c r="D39" s="371" t="s">
        <v>327</v>
      </c>
      <c r="E39" s="327" t="s">
        <v>299</v>
      </c>
      <c r="F39" s="326" t="s">
        <v>300</v>
      </c>
      <c r="G39" s="326" t="s">
        <v>301</v>
      </c>
    </row>
    <row r="40" spans="2:7" x14ac:dyDescent="0.35">
      <c r="B40" s="494" t="s">
        <v>302</v>
      </c>
      <c r="C40" s="325" t="s">
        <v>303</v>
      </c>
      <c r="D40" s="324">
        <v>729176</v>
      </c>
      <c r="E40" s="324">
        <v>839047</v>
      </c>
      <c r="F40" s="375">
        <f>E40-D40</f>
        <v>109871</v>
      </c>
      <c r="G40" s="376">
        <f t="shared" ref="G40:G58" si="4">F40/D40</f>
        <v>0.15067829988918999</v>
      </c>
    </row>
    <row r="41" spans="2:7" x14ac:dyDescent="0.35">
      <c r="B41" s="494"/>
      <c r="C41" s="325" t="s">
        <v>304</v>
      </c>
      <c r="D41" s="324">
        <v>38077</v>
      </c>
      <c r="E41" s="324">
        <v>118228</v>
      </c>
      <c r="F41" s="375">
        <f t="shared" ref="F41:F45" si="5">E41-D41</f>
        <v>80151</v>
      </c>
      <c r="G41" s="376">
        <f t="shared" si="4"/>
        <v>2.1049715051080704</v>
      </c>
    </row>
    <row r="42" spans="2:7" x14ac:dyDescent="0.35">
      <c r="B42" s="494"/>
      <c r="C42" s="325" t="s">
        <v>305</v>
      </c>
      <c r="D42" s="324">
        <v>1566091</v>
      </c>
      <c r="E42" s="324">
        <v>601762</v>
      </c>
      <c r="F42" s="375">
        <f t="shared" si="5"/>
        <v>-964329</v>
      </c>
      <c r="G42" s="376">
        <f t="shared" si="4"/>
        <v>-0.61575540629503644</v>
      </c>
    </row>
    <row r="43" spans="2:7" x14ac:dyDescent="0.35">
      <c r="B43" s="494"/>
      <c r="C43" s="325" t="s">
        <v>306</v>
      </c>
      <c r="D43" s="324">
        <v>58825</v>
      </c>
      <c r="E43" s="324">
        <v>58825</v>
      </c>
      <c r="F43" s="375">
        <f t="shared" si="5"/>
        <v>0</v>
      </c>
      <c r="G43" s="376">
        <f t="shared" si="4"/>
        <v>0</v>
      </c>
    </row>
    <row r="44" spans="2:7" x14ac:dyDescent="0.35">
      <c r="B44" s="494"/>
      <c r="C44" s="325" t="s">
        <v>307</v>
      </c>
      <c r="D44" s="372">
        <f>13336790-4464988</f>
        <v>8871802</v>
      </c>
      <c r="E44" s="324">
        <v>8399203</v>
      </c>
      <c r="F44" s="375">
        <f t="shared" si="5"/>
        <v>-472599</v>
      </c>
      <c r="G44" s="376">
        <f t="shared" si="4"/>
        <v>-5.3269786679188739E-2</v>
      </c>
    </row>
    <row r="45" spans="2:7" x14ac:dyDescent="0.35">
      <c r="B45" s="494"/>
      <c r="C45" s="325" t="s">
        <v>308</v>
      </c>
      <c r="D45" s="324">
        <v>771627</v>
      </c>
      <c r="E45" s="324">
        <v>123326</v>
      </c>
      <c r="F45" s="375">
        <f t="shared" si="5"/>
        <v>-648301</v>
      </c>
      <c r="G45" s="376">
        <f t="shared" si="4"/>
        <v>-0.84017407374288355</v>
      </c>
    </row>
    <row r="46" spans="2:7" x14ac:dyDescent="0.35">
      <c r="B46" s="485" t="s">
        <v>309</v>
      </c>
      <c r="C46" s="486"/>
      <c r="D46" s="378">
        <f>SUM(D40:D45)</f>
        <v>12035598</v>
      </c>
      <c r="E46" s="378">
        <f>SUM(E40:E45)</f>
        <v>10140391</v>
      </c>
      <c r="F46" s="379">
        <f>E46-D46</f>
        <v>-1895207</v>
      </c>
      <c r="G46" s="380">
        <f>F46/D46</f>
        <v>-0.1574667914298899</v>
      </c>
    </row>
    <row r="47" spans="2:7" x14ac:dyDescent="0.35">
      <c r="B47" s="494" t="s">
        <v>310</v>
      </c>
      <c r="C47" s="325" t="s">
        <v>311</v>
      </c>
      <c r="D47" s="372">
        <f>2292302-800619</f>
        <v>1491683</v>
      </c>
      <c r="E47" s="324">
        <v>2172100</v>
      </c>
      <c r="F47" s="375">
        <f>E47-D47</f>
        <v>680417</v>
      </c>
      <c r="G47" s="376">
        <f t="shared" si="4"/>
        <v>0.45614048024949</v>
      </c>
    </row>
    <row r="48" spans="2:7" x14ac:dyDescent="0.35">
      <c r="B48" s="494"/>
      <c r="C48" s="325" t="s">
        <v>312</v>
      </c>
      <c r="D48" s="324">
        <v>387398</v>
      </c>
      <c r="E48" s="324">
        <v>754536</v>
      </c>
      <c r="F48" s="375">
        <f t="shared" ref="F48:F52" si="6">E48-D48</f>
        <v>367138</v>
      </c>
      <c r="G48" s="376">
        <f t="shared" si="4"/>
        <v>0.94770236294456867</v>
      </c>
    </row>
    <row r="49" spans="2:7" x14ac:dyDescent="0.35">
      <c r="B49" s="494"/>
      <c r="C49" s="325" t="s">
        <v>313</v>
      </c>
      <c r="D49" s="324">
        <v>484528</v>
      </c>
      <c r="E49" s="324">
        <v>349923</v>
      </c>
      <c r="F49" s="375">
        <f t="shared" si="6"/>
        <v>-134605</v>
      </c>
      <c r="G49" s="376">
        <f t="shared" si="4"/>
        <v>-0.27780644255853121</v>
      </c>
    </row>
    <row r="50" spans="2:7" x14ac:dyDescent="0.35">
      <c r="B50" s="494"/>
      <c r="C50" s="325" t="s">
        <v>27</v>
      </c>
      <c r="D50" s="372">
        <f>3197854-1174699</f>
        <v>2023155</v>
      </c>
      <c r="E50" s="324">
        <v>2817892</v>
      </c>
      <c r="F50" s="375">
        <f t="shared" si="6"/>
        <v>794737</v>
      </c>
      <c r="G50" s="376">
        <f t="shared" si="4"/>
        <v>0.3928206192802825</v>
      </c>
    </row>
    <row r="51" spans="2:7" x14ac:dyDescent="0.35">
      <c r="B51" s="494"/>
      <c r="C51" s="325" t="s">
        <v>314</v>
      </c>
      <c r="D51" s="324">
        <v>37877</v>
      </c>
      <c r="E51" s="324">
        <v>187638</v>
      </c>
      <c r="F51" s="375">
        <f t="shared" si="6"/>
        <v>149761</v>
      </c>
      <c r="G51" s="376">
        <f t="shared" si="4"/>
        <v>3.9538770229954854</v>
      </c>
    </row>
    <row r="52" spans="2:7" x14ac:dyDescent="0.35">
      <c r="B52" s="494"/>
      <c r="C52" s="325" t="s">
        <v>315</v>
      </c>
      <c r="D52" s="324">
        <v>0</v>
      </c>
      <c r="E52" s="324">
        <v>15993</v>
      </c>
      <c r="F52" s="375">
        <f t="shared" si="6"/>
        <v>15993</v>
      </c>
      <c r="G52" s="376"/>
    </row>
    <row r="53" spans="2:7" x14ac:dyDescent="0.35">
      <c r="B53" s="485" t="s">
        <v>316</v>
      </c>
      <c r="C53" s="486"/>
      <c r="D53" s="378">
        <f>SUM(D47:D52)</f>
        <v>4424641</v>
      </c>
      <c r="E53" s="378">
        <f>SUM(E47:E52)</f>
        <v>6298082</v>
      </c>
      <c r="F53" s="379">
        <f>E53-D53</f>
        <v>1873441</v>
      </c>
      <c r="G53" s="380">
        <f>F53/D53</f>
        <v>0.42341084847335636</v>
      </c>
    </row>
    <row r="54" spans="2:7" ht="15" customHeight="1" x14ac:dyDescent="0.35">
      <c r="B54" s="487" t="s">
        <v>317</v>
      </c>
      <c r="C54" s="325" t="s">
        <v>318</v>
      </c>
      <c r="D54" s="324">
        <v>959221</v>
      </c>
      <c r="E54" s="324">
        <v>1052827</v>
      </c>
      <c r="F54" s="375">
        <f>E54-D54</f>
        <v>93606</v>
      </c>
      <c r="G54" s="376">
        <f t="shared" si="4"/>
        <v>9.7585436515672613E-2</v>
      </c>
    </row>
    <row r="55" spans="2:7" ht="15" customHeight="1" x14ac:dyDescent="0.35">
      <c r="B55" s="487"/>
      <c r="C55" s="325" t="s">
        <v>319</v>
      </c>
      <c r="D55" s="324">
        <v>537164</v>
      </c>
      <c r="E55" s="324">
        <v>528907</v>
      </c>
      <c r="F55" s="375">
        <f t="shared" ref="F55:F59" si="7">E55-D55</f>
        <v>-8257</v>
      </c>
      <c r="G55" s="376">
        <f t="shared" si="4"/>
        <v>-1.5371469420884498E-2</v>
      </c>
    </row>
    <row r="56" spans="2:7" ht="15" customHeight="1" x14ac:dyDescent="0.35">
      <c r="B56" s="487"/>
      <c r="C56" s="325" t="s">
        <v>320</v>
      </c>
      <c r="D56" s="324">
        <v>479611</v>
      </c>
      <c r="E56" s="324">
        <v>468537</v>
      </c>
      <c r="F56" s="375">
        <f t="shared" si="7"/>
        <v>-11074</v>
      </c>
      <c r="G56" s="376">
        <f t="shared" si="4"/>
        <v>-2.30895454858208E-2</v>
      </c>
    </row>
    <row r="57" spans="2:7" ht="15" customHeight="1" x14ac:dyDescent="0.35">
      <c r="B57" s="487"/>
      <c r="C57" s="325" t="s">
        <v>321</v>
      </c>
      <c r="D57" s="324">
        <v>671455</v>
      </c>
      <c r="E57" s="324">
        <v>661134</v>
      </c>
      <c r="F57" s="375">
        <f t="shared" si="7"/>
        <v>-10321</v>
      </c>
      <c r="G57" s="376">
        <f t="shared" si="4"/>
        <v>-1.5371097095114342E-2</v>
      </c>
    </row>
    <row r="58" spans="2:7" ht="15" customHeight="1" x14ac:dyDescent="0.35">
      <c r="B58" s="487"/>
      <c r="C58" s="325" t="s">
        <v>322</v>
      </c>
      <c r="D58" s="324">
        <v>76738</v>
      </c>
      <c r="E58" s="372">
        <v>76738</v>
      </c>
      <c r="F58" s="375">
        <f t="shared" si="7"/>
        <v>0</v>
      </c>
      <c r="G58" s="376">
        <f t="shared" si="4"/>
        <v>0</v>
      </c>
    </row>
    <row r="59" spans="2:7" ht="15" customHeight="1" x14ac:dyDescent="0.35">
      <c r="B59" s="487"/>
      <c r="C59" s="325" t="s">
        <v>323</v>
      </c>
      <c r="D59" s="324">
        <v>0</v>
      </c>
      <c r="E59" s="324">
        <v>0</v>
      </c>
      <c r="F59" s="375">
        <f t="shared" si="7"/>
        <v>0</v>
      </c>
      <c r="G59" s="376">
        <v>0</v>
      </c>
    </row>
    <row r="60" spans="2:7" x14ac:dyDescent="0.35">
      <c r="B60" s="488" t="s">
        <v>324</v>
      </c>
      <c r="C60" s="489"/>
      <c r="D60" s="378">
        <f>SUM(D54:D59)</f>
        <v>2724189</v>
      </c>
      <c r="E60" s="378">
        <f>SUM(E54:E59)</f>
        <v>2788143</v>
      </c>
      <c r="F60" s="379">
        <f>E60-D60</f>
        <v>63954</v>
      </c>
      <c r="G60" s="380">
        <f>F60/D60</f>
        <v>2.3476344702955631E-2</v>
      </c>
    </row>
    <row r="61" spans="2:7" s="48" customFormat="1" ht="22" customHeight="1" x14ac:dyDescent="0.35">
      <c r="B61" s="483" t="s">
        <v>325</v>
      </c>
      <c r="C61" s="484"/>
      <c r="D61" s="384">
        <f>D46+D53+D60</f>
        <v>19184428</v>
      </c>
      <c r="E61" s="385">
        <f>E46+E53+E60</f>
        <v>19226616</v>
      </c>
      <c r="F61" s="385">
        <f>E61-D61</f>
        <v>42188</v>
      </c>
      <c r="G61" s="386">
        <f>F61/D61</f>
        <v>2.1990752082887226E-3</v>
      </c>
    </row>
    <row r="62" spans="2:7" ht="18.5" x14ac:dyDescent="0.35">
      <c r="E62" s="387"/>
      <c r="F62" s="387"/>
      <c r="G62" s="388"/>
    </row>
    <row r="63" spans="2:7" ht="41.5" customHeight="1" x14ac:dyDescent="0.35">
      <c r="B63" s="490" t="s">
        <v>336</v>
      </c>
      <c r="C63" s="490"/>
      <c r="D63" s="490"/>
      <c r="E63" s="490"/>
      <c r="F63" s="490"/>
      <c r="G63" s="490"/>
    </row>
    <row r="65" spans="2:2" x14ac:dyDescent="0.35">
      <c r="B65" s="373"/>
    </row>
  </sheetData>
  <mergeCells count="17">
    <mergeCell ref="B46:C46"/>
    <mergeCell ref="B47:B52"/>
    <mergeCell ref="B29:B34"/>
    <mergeCell ref="B35:C35"/>
    <mergeCell ref="B36:C36"/>
    <mergeCell ref="B38:G38"/>
    <mergeCell ref="B40:B45"/>
    <mergeCell ref="B13:G13"/>
    <mergeCell ref="B15:B20"/>
    <mergeCell ref="B21:C21"/>
    <mergeCell ref="B22:B27"/>
    <mergeCell ref="B28:C28"/>
    <mergeCell ref="B61:C61"/>
    <mergeCell ref="B53:C53"/>
    <mergeCell ref="B54:B59"/>
    <mergeCell ref="B60:C60"/>
    <mergeCell ref="B63:G6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Status xmlns="c165669a-5531-4834-a3c6-766d91a836b3" xsi:nil="true"/>
    <Program_x0020_Year xmlns="c165669a-5531-4834-a3c6-766d91a836b3" xsi:nil="true"/>
    <Retention_x0020_Code xmlns="c165669a-5531-4834-a3c6-766d91a836b3" xsi:nil="true"/>
    <Program_x0020_Month xmlns="c165669a-5531-4834-a3c6-766d91a836b3" xsi:nil="true"/>
    <SecurityClassification xmlns="c165669a-5531-4834-a3c6-766d91a836b3">Internal</SecurityClassification>
    <AmerenCompany xmlns="c165669a-5531-4834-a3c6-766d91a836b3">Ameren Illinois</AmerenCompany>
    <Document_x0020_Type xmlns="c165669a-5531-4834-a3c6-766d91a836b3" xsi:nil="true"/>
    <TaxCatchAll xmlns="c165669a-5531-4834-a3c6-766d91a836b3" xsi:nil="true"/>
    <lcf76f155ced4ddcb4097134ff3c332f xmlns="0fc115f9-6d6b-4932-b8c1-5214a931006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A2F517F943E5478788C00CC370CF36" ma:contentTypeVersion="20" ma:contentTypeDescription="Create a new document." ma:contentTypeScope="" ma:versionID="9409fee7290f7d0f266b1bed9621c647">
  <xsd:schema xmlns:xsd="http://www.w3.org/2001/XMLSchema" xmlns:xs="http://www.w3.org/2001/XMLSchema" xmlns:p="http://schemas.microsoft.com/office/2006/metadata/properties" xmlns:ns2="c165669a-5531-4834-a3c6-766d91a836b3" xmlns:ns3="0fc115f9-6d6b-4932-b8c1-5214a931006f" targetNamespace="http://schemas.microsoft.com/office/2006/metadata/properties" ma:root="true" ma:fieldsID="4c50813836941a61407f1dfed1c5db3b" ns2:_="" ns3:_="">
    <xsd:import namespace="c165669a-5531-4834-a3c6-766d91a836b3"/>
    <xsd:import namespace="0fc115f9-6d6b-4932-b8c1-5214a931006f"/>
    <xsd:element name="properties">
      <xsd:complexType>
        <xsd:sequence>
          <xsd:element name="documentManagement">
            <xsd:complexType>
              <xsd:all>
                <xsd:element ref="ns2:AmerenCompany"/>
                <xsd:element ref="ns2:SecurityClassification"/>
                <xsd:element ref="ns2:Document_x0020_Type" minOccurs="0"/>
                <xsd:element ref="ns2:Document_x0020_Status" minOccurs="0"/>
                <xsd:element ref="ns2:Program_x0020_Year" minOccurs="0"/>
                <xsd:element ref="ns2:Retention_x0020_Code" minOccurs="0"/>
                <xsd:element ref="ns2:Program_x0020_Month"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2:SharedWithUsers" minOccurs="0"/>
                <xsd:element ref="ns2:SharedWithDetails" minOccurs="0"/>
                <xsd:element ref="ns3:lcf76f155ced4ddcb4097134ff3c332f" minOccurs="0"/>
                <xsd:element ref="ns2:TaxCatchAll" minOccurs="0"/>
                <xsd:element ref="ns3:MediaServiceObjectDetectorVersions" minOccurs="0"/>
                <xsd:element ref="ns3:MediaLengthInSecond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65669a-5531-4834-a3c6-766d91a836b3" elementFormDefault="qualified">
    <xsd:import namespace="http://schemas.microsoft.com/office/2006/documentManagement/types"/>
    <xsd:import namespace="http://schemas.microsoft.com/office/infopath/2007/PartnerControls"/>
    <xsd:element name="AmerenCompany" ma:index="8" ma:displayName="Ameren Company" ma:default="Ameren Illinois" ma:internalName="AmerenCompany">
      <xsd:simpleType>
        <xsd:restriction base="dms:Choice">
          <xsd:enumeration value="Ameren Illinois"/>
          <xsd:enumeration value="Ameren Missouri"/>
          <xsd:enumeration value="Ameren Services"/>
          <xsd:enumeration value="Ameren Transmission"/>
        </xsd:restriction>
      </xsd:simpleType>
    </xsd:element>
    <xsd:element name="SecurityClassification" ma:index="9" ma:displayName="Security Classification" ma:default="Internal" ma:internalName="SecurityClassification">
      <xsd:simpleType>
        <xsd:restriction base="dms:Choice">
          <xsd:enumeration value="Restricted"/>
          <xsd:enumeration value="Protected"/>
          <xsd:enumeration value="Internal"/>
          <xsd:enumeration value="External"/>
        </xsd:restriction>
      </xsd:simpleType>
    </xsd:element>
    <xsd:element name="Document_x0020_Type" ma:index="10" nillable="true" ma:displayName="Document Type" ma:format="Dropdown" ma:internalName="Document_x0020_Type">
      <xsd:simpleType>
        <xsd:restriction base="dms:Choice">
          <xsd:enumeration value="Audit"/>
          <xsd:enumeration value="Bid Exception"/>
          <xsd:enumeration value="Budget"/>
          <xsd:enumeration value="Compliance"/>
          <xsd:enumeration value="Contract"/>
          <xsd:enumeration value="Data"/>
          <xsd:enumeration value="Data Request"/>
          <xsd:enumeration value="Expense Report"/>
          <xsd:enumeration value="External Report"/>
          <xsd:enumeration value="Filing"/>
          <xsd:enumeration value="Guides"/>
          <xsd:enumeration value="Implementation Plan"/>
          <xsd:enumeration value="Internal Report"/>
          <xsd:enumeration value="Invoice"/>
          <xsd:enumeration value="Master Actuals"/>
          <xsd:enumeration value="Measure Codes"/>
          <xsd:enumeration value="Meeting Notes"/>
          <xsd:enumeration value="Memo"/>
          <xsd:enumeration value="MOA"/>
          <xsd:enumeration value="Monthly Report"/>
          <xsd:enumeration value="Notes"/>
          <xsd:enumeration value="Order"/>
          <xsd:enumeration value="Other"/>
          <xsd:enumeration value="Plan"/>
          <xsd:enumeration value="Policy"/>
          <xsd:enumeration value="Presentation"/>
          <xsd:enumeration value="Process Document"/>
          <xsd:enumeration value="Program Planning"/>
          <xsd:enumeration value="Purchase Order"/>
          <xsd:enumeration value="Quick Reference Guide"/>
          <xsd:enumeration value="RFP"/>
          <xsd:enumeration value="Service Agreement"/>
          <xsd:enumeration value="Service Agreement Amendment"/>
          <xsd:enumeration value="SOW"/>
          <xsd:enumeration value="SOW Amendment"/>
          <xsd:enumeration value="Stipulated Agreement"/>
          <xsd:enumeration value="Survey"/>
          <xsd:enumeration value="Template"/>
          <xsd:enumeration value="Testimony"/>
          <xsd:enumeration value="Training"/>
        </xsd:restriction>
      </xsd:simpleType>
    </xsd:element>
    <xsd:element name="Document_x0020_Status" ma:index="11" nillable="true" ma:displayName="Document Status" ma:format="Dropdown" ma:internalName="Document_x0020_Status">
      <xsd:simpleType>
        <xsd:restriction base="dms:Choice">
          <xsd:enumeration value="Active"/>
          <xsd:enumeration value="Draft"/>
          <xsd:enumeration value="Executed"/>
          <xsd:enumeration value="Filed"/>
          <xsd:enumeration value="Final"/>
          <xsd:enumeration value="In Review"/>
          <xsd:enumeration value="Inactive"/>
          <xsd:enumeration value="Paid"/>
          <xsd:enumeration value="Processed"/>
        </xsd:restriction>
      </xsd:simpleType>
    </xsd:element>
    <xsd:element name="Program_x0020_Year" ma:index="12" nillable="true" ma:displayName="Program Year" ma:format="Dropdown" ma:internalName="Program_x0020_Year">
      <xsd:simpleType>
        <xsd:restriction base="dms:Choice">
          <xsd:enumeration value="PY18"/>
          <xsd:enumeration value="PY19"/>
          <xsd:enumeration value="PY20"/>
          <xsd:enumeration value="PY21"/>
          <xsd:enumeration value="PY22"/>
          <xsd:enumeration value="PY23"/>
          <xsd:enumeration value="PY24"/>
        </xsd:restriction>
      </xsd:simpleType>
    </xsd:element>
    <xsd:element name="Retention_x0020_Code" ma:index="13" nillable="true" ma:displayName="Retention Code" ma:format="Dropdown" ma:internalName="Retention_x0020_Code">
      <xsd:simpleType>
        <xsd:restriction base="dms:Choice">
          <xsd:enumeration value="ACC001"/>
          <xsd:enumeration value="ACC005"/>
          <xsd:enumeration value="ACC008"/>
          <xsd:enumeration value="ACC010"/>
          <xsd:enumeration value="ACC011"/>
          <xsd:enumeration value="ACC013"/>
          <xsd:enumeration value="ACC014"/>
          <xsd:enumeration value="ACC015"/>
          <xsd:enumeration value="ACC016"/>
          <xsd:enumeration value="ACC020"/>
          <xsd:enumeration value="ACC101"/>
          <xsd:enumeration value="ACC102"/>
          <xsd:enumeration value="ACC103"/>
          <xsd:enumeration value="ACC104"/>
          <xsd:enumeration value="ACC105"/>
          <xsd:enumeration value="ACC114"/>
          <xsd:enumeration value="ACC127"/>
          <xsd:enumeration value="ACC130"/>
          <xsd:enumeration value="ACC152"/>
          <xsd:enumeration value="ACC154"/>
          <xsd:enumeration value="ACC210"/>
          <xsd:enumeration value="ACC405"/>
          <xsd:enumeration value="ACC510"/>
          <xsd:enumeration value="ADM002"/>
          <xsd:enumeration value="ADM004"/>
          <xsd:enumeration value="ADM005"/>
          <xsd:enumeration value="ADM006"/>
          <xsd:enumeration value="ADM007"/>
          <xsd:enumeration value="ADM008"/>
          <xsd:enumeration value="ADM009"/>
          <xsd:enumeration value="ADM010"/>
          <xsd:enumeration value="ADM011"/>
          <xsd:enumeration value="ADM013"/>
          <xsd:enumeration value="ADM014"/>
          <xsd:enumeration value="ADM015"/>
          <xsd:enumeration value="ADM018"/>
          <xsd:enumeration value="ADM019"/>
          <xsd:enumeration value="ADM020"/>
          <xsd:enumeration value="ADM021"/>
          <xsd:enumeration value="ADM023"/>
          <xsd:enumeration value="ADM024"/>
          <xsd:enumeration value="ADM026"/>
          <xsd:enumeration value="CXR001"/>
          <xsd:enumeration value="CXR002"/>
          <xsd:enumeration value="CXR003"/>
          <xsd:enumeration value="CXR004"/>
          <xsd:enumeration value="CXR005"/>
          <xsd:enumeration value="CXR006"/>
          <xsd:enumeration value="CXR007"/>
          <xsd:enumeration value="CXR008"/>
          <xsd:enumeration value="CXR009"/>
          <xsd:enumeration value="CXR010"/>
          <xsd:enumeration value="CXR012"/>
          <xsd:enumeration value="CXR013"/>
          <xsd:enumeration value="EHS001"/>
          <xsd:enumeration value="EHS002"/>
          <xsd:enumeration value="EHS003"/>
          <xsd:enumeration value="EHS004"/>
          <xsd:enumeration value="EHS005"/>
          <xsd:enumeration value="EHS006"/>
          <xsd:enumeration value="EHS007"/>
          <xsd:enumeration value="EHS008"/>
          <xsd:enumeration value="EHS009"/>
          <xsd:enumeration value="EHS010"/>
          <xsd:enumeration value="EHS011"/>
          <xsd:enumeration value="EHS012"/>
          <xsd:enumeration value="EHS013"/>
          <xsd:enumeration value="EHS014"/>
          <xsd:enumeration value="EHS015"/>
          <xsd:enumeration value="EHS016"/>
          <xsd:enumeration value="EHS017"/>
          <xsd:enumeration value="EHS018"/>
          <xsd:enumeration value="ELE002"/>
          <xsd:enumeration value="ELE003"/>
          <xsd:enumeration value="ELE004"/>
          <xsd:enumeration value="ELE005"/>
          <xsd:enumeration value="ELE006"/>
          <xsd:enumeration value="ELE007"/>
          <xsd:enumeration value="ELE008"/>
          <xsd:enumeration value="ELE009"/>
          <xsd:enumeration value="ELE014"/>
          <xsd:enumeration value="ELE015"/>
          <xsd:enumeration value="ELE016"/>
          <xsd:enumeration value="ELE017"/>
          <xsd:enumeration value="ELE018"/>
          <xsd:enumeration value="ELE209"/>
          <xsd:enumeration value="ELE214"/>
          <xsd:enumeration value="ELE215"/>
          <xsd:enumeration value="ELE216"/>
          <xsd:enumeration value="ELE401"/>
          <xsd:enumeration value="ELE402"/>
          <xsd:enumeration value="ELE403"/>
          <xsd:enumeration value="ELE404"/>
          <xsd:enumeration value="ELE405"/>
          <xsd:enumeration value="ELE406"/>
          <xsd:enumeration value="FIN001"/>
          <xsd:enumeration value="FIN002"/>
          <xsd:enumeration value="FIN003"/>
          <xsd:enumeration value="FIN004"/>
          <xsd:enumeration value="FIN005"/>
          <xsd:enumeration value="FIN006"/>
          <xsd:enumeration value="FIN007"/>
          <xsd:enumeration value="FIN008"/>
          <xsd:enumeration value="FIN009"/>
          <xsd:enumeration value="FIN013"/>
          <xsd:enumeration value="FIN014"/>
          <xsd:enumeration value="FIN015"/>
          <xsd:enumeration value="FIN017"/>
          <xsd:enumeration value="FIN018"/>
          <xsd:enumeration value="GAS002"/>
          <xsd:enumeration value="GAS005"/>
          <xsd:enumeration value="GAS007"/>
          <xsd:enumeration value="GAS010"/>
          <xsd:enumeration value="GAS011"/>
          <xsd:enumeration value="GAS200"/>
          <xsd:enumeration value="GAS207"/>
          <xsd:enumeration value="GAS210"/>
          <xsd:enumeration value="GAS214"/>
          <xsd:enumeration value="GAS215"/>
          <xsd:enumeration value="GAS274"/>
          <xsd:enumeration value="GAS275"/>
          <xsd:enumeration value="GAS350"/>
          <xsd:enumeration value="GAS375"/>
          <xsd:enumeration value="GAS401"/>
          <xsd:enumeration value="GAS402"/>
          <xsd:enumeration value="GAS403"/>
          <xsd:enumeration value="GAS405"/>
          <xsd:enumeration value="HUM001"/>
          <xsd:enumeration value="HUM002"/>
          <xsd:enumeration value="HUM003"/>
          <xsd:enumeration value="HUM004"/>
          <xsd:enumeration value="HUM005"/>
          <xsd:enumeration value="HUM006"/>
          <xsd:enumeration value="HUM007"/>
          <xsd:enumeration value="HUM008"/>
          <xsd:enumeration value="HUM009"/>
          <xsd:enumeration value="HUM010"/>
          <xsd:enumeration value="HUM011"/>
          <xsd:enumeration value="LEG002"/>
          <xsd:enumeration value="LEG003"/>
          <xsd:enumeration value="LEG004"/>
          <xsd:enumeration value="LEG005"/>
          <xsd:enumeration value="LEG006"/>
          <xsd:enumeration value="LEG007"/>
          <xsd:enumeration value="LEG008"/>
          <xsd:enumeration value="LEG009"/>
          <xsd:enumeration value="LEG012"/>
          <xsd:enumeration value="LEG301"/>
          <xsd:enumeration value="LEG302"/>
          <xsd:enumeration value="LEG303"/>
          <xsd:enumeration value="LEG304"/>
          <xsd:enumeration value="LEG305"/>
          <xsd:enumeration value="LEG306"/>
          <xsd:enumeration value="LEG307"/>
          <xsd:enumeration value="LEG308"/>
          <xsd:enumeration value="LEG309"/>
          <xsd:enumeration value="PRJ001"/>
          <xsd:enumeration value="PRJ002"/>
          <xsd:enumeration value="TAX001"/>
          <xsd:enumeration value="TAX002"/>
          <xsd:enumeration value="TAX003"/>
          <xsd:enumeration value="TAX004"/>
        </xsd:restriction>
      </xsd:simpleType>
    </xsd:element>
    <xsd:element name="Program_x0020_Month" ma:index="14" nillable="true" ma:displayName="Program Month" ma:format="Dropdown" ma:internalName="Program_x0020_Month">
      <xsd:simpleType>
        <xsd:restriction base="dms:Choice">
          <xsd:enumeration value="PM1"/>
          <xsd:enumeration value="PM2"/>
          <xsd:enumeration value="PM3"/>
          <xsd:enumeration value="PM4"/>
          <xsd:enumeration value="PM5"/>
          <xsd:enumeration value="PM6"/>
          <xsd:enumeration value="PM7"/>
          <xsd:enumeration value="PM8"/>
          <xsd:enumeration value="PM9"/>
          <xsd:enumeration value="PM10"/>
          <xsd:enumeration value="PM11"/>
          <xsd:enumeration value="PM12"/>
        </xsd:restrictio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10fb89a2-95e2-4ef7-bfb8-9e923550209d}" ma:internalName="TaxCatchAll" ma:showField="CatchAllData" ma:web="c165669a-5531-4834-a3c6-766d91a836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fc115f9-6d6b-4932-b8c1-5214a931006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a1da4855-4edc-4d1c-82df-1c029e91f9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DateTaken" ma:index="29"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E2CB1D-3061-4333-83FD-8FD131D6D8B7}">
  <ds:schemaRefs>
    <ds:schemaRef ds:uri="http://purl.org/dc/elements/1.1/"/>
    <ds:schemaRef ds:uri="http://schemas.microsoft.com/office/2006/metadata/properties"/>
    <ds:schemaRef ds:uri="http://www.w3.org/XML/1998/namespace"/>
    <ds:schemaRef ds:uri="0fc115f9-6d6b-4932-b8c1-5214a931006f"/>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c165669a-5531-4834-a3c6-766d91a836b3"/>
  </ds:schemaRefs>
</ds:datastoreItem>
</file>

<file path=customXml/itemProps2.xml><?xml version="1.0" encoding="utf-8"?>
<ds:datastoreItem xmlns:ds="http://schemas.openxmlformats.org/officeDocument/2006/customXml" ds:itemID="{D8F608A9-86B6-41B0-B7E0-857571C10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65669a-5531-4834-a3c6-766d91a836b3"/>
    <ds:schemaRef ds:uri="0fc115f9-6d6b-4932-b8c1-5214a93100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10C7E2-4C81-46E0-B84F-7DEBDE3B477A}">
  <ds:schemaRefs>
    <ds:schemaRef ds:uri="http://schemas.microsoft.com/sharepoint/v3/contenttype/forms"/>
  </ds:schemaRefs>
</ds:datastoreItem>
</file>

<file path=docMetadata/LabelInfo.xml><?xml version="1.0" encoding="utf-8"?>
<clbl:labelList xmlns:clbl="http://schemas.microsoft.com/office/2020/mipLabelMetadata">
  <clbl:label id="{fa91b29d-ba21-402f-b47a-c225ae57ffe9}" enabled="0" method="" siteId="{fa91b29d-ba21-402f-b47a-c225ae57ffe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1- Ex Ante Results</vt:lpstr>
      <vt:lpstr>2- Costs</vt:lpstr>
      <vt:lpstr>3- Energy</vt:lpstr>
      <vt:lpstr>4- Other</vt:lpstr>
      <vt:lpstr>5- CPAS</vt:lpstr>
      <vt:lpstr>6- Historical Costs</vt:lpstr>
      <vt:lpstr>7a. Workforce Equity Quarterly</vt:lpstr>
      <vt:lpstr>7b. Workforce Equity Annual</vt:lpstr>
      <vt:lpstr>8. Budget Shifts</vt:lpstr>
      <vt:lpstr>9. LIEEAC</vt:lpstr>
    </vt:vector>
  </TitlesOfParts>
  <Manager/>
  <Company>Exelon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IL Statewide Quarterly Report Template</dc:title>
  <dc:subject/>
  <dc:creator>Celia Johnson</dc:creator>
  <cp:keywords/>
  <dc:description/>
  <cp:lastModifiedBy>Grebner, Tina M</cp:lastModifiedBy>
  <cp:revision/>
  <dcterms:created xsi:type="dcterms:W3CDTF">2016-11-04T16:24:21Z</dcterms:created>
  <dcterms:modified xsi:type="dcterms:W3CDTF">2026-06-26T20:11:36Z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0x01010058A2F517F943E5478788C00CC370CF36</vt:lpwstr>
  </property>
  <property fmtid="{D5CDD505-2E9C-101B-9397-08002B2CF9AE}" pid="3" name="MediaServiceImageTags">
    <vt:lpwstr/>
  </property>
</Properties>
</file>