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16"/>
  <workbookPr defaultThemeVersion="124226"/>
  <mc:AlternateContent xmlns:mc="http://schemas.openxmlformats.org/markup-compatibility/2006">
    <mc:Choice Requires="x15">
      <x15ac:absPath xmlns:x15ac="http://schemas.microsoft.com/office/spreadsheetml/2010/11/ac" url="https://ameren.sharepoint.com/sites/AmerenIL-DSM/Portfolio/Quarterly Reports - SAG/Quarterly Reports/2025/"/>
    </mc:Choice>
  </mc:AlternateContent>
  <xr:revisionPtr revIDLastSave="3605" documentId="13_ncr:1_{5CC10B08-C3C8-44A4-8BF5-95E8B21AD89A}" xr6:coauthVersionLast="47" xr6:coauthVersionMax="47" xr10:uidLastSave="{0F191FBC-3786-4445-BC0F-67A3FBFEDEDA}"/>
  <bookViews>
    <workbookView xWindow="28680" yWindow="-120" windowWidth="29040" windowHeight="15720" firstSheet="2" activeTab="2" xr2:uid="{00000000-000D-0000-FFFF-FFFF00000000}"/>
  </bookViews>
  <sheets>
    <sheet name="1- Ex Ante Results" sheetId="1" r:id="rId1"/>
    <sheet name="2- Costs" sheetId="2" r:id="rId2"/>
    <sheet name="5- CPAS" sheetId="7" r:id="rId3"/>
    <sheet name="3- Energy" sheetId="3" r:id="rId4"/>
    <sheet name="4- Other" sheetId="4" r:id="rId5"/>
    <sheet name="6- Historical Costs" sheetId="8" r:id="rId6"/>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9" i="1" l="1"/>
  <c r="K61" i="1"/>
  <c r="E80" i="1"/>
  <c r="E81" i="1"/>
  <c r="F70" i="1"/>
  <c r="F71" i="1"/>
  <c r="F72" i="1"/>
  <c r="F73" i="1"/>
  <c r="F74" i="1"/>
  <c r="F75" i="1"/>
  <c r="F76" i="1"/>
  <c r="F77" i="1"/>
  <c r="F78" i="1"/>
  <c r="D70" i="1"/>
  <c r="E70" i="1" s="1"/>
  <c r="D71" i="1"/>
  <c r="E71" i="1" s="1"/>
  <c r="D72" i="1"/>
  <c r="E72" i="1" s="1"/>
  <c r="D73" i="1"/>
  <c r="E73" i="1" s="1"/>
  <c r="D74" i="1"/>
  <c r="E74" i="1" s="1"/>
  <c r="D75" i="1"/>
  <c r="E75" i="1" s="1"/>
  <c r="D76" i="1"/>
  <c r="E76" i="1" s="1"/>
  <c r="D77" i="1"/>
  <c r="E77" i="1" s="1"/>
  <c r="D78" i="1"/>
  <c r="E78" i="1" s="1"/>
  <c r="C35" i="1"/>
  <c r="C83" i="1"/>
  <c r="C68" i="1"/>
  <c r="T33" i="4"/>
  <c r="T32" i="4"/>
  <c r="T31" i="4"/>
  <c r="T30" i="4"/>
  <c r="D22" i="2"/>
  <c r="C22" i="2"/>
  <c r="N68" i="1" l="1"/>
  <c r="O68" i="1"/>
  <c r="C36" i="1" l="1"/>
  <c r="M37" i="1"/>
  <c r="S37" i="1"/>
  <c r="U68" i="1" l="1"/>
  <c r="V68" i="1"/>
  <c r="W68" i="1"/>
  <c r="T68" i="1"/>
  <c r="P68" i="1"/>
  <c r="Q68" i="1"/>
  <c r="J68" i="1"/>
  <c r="K68" i="1"/>
  <c r="I68" i="1"/>
  <c r="H68" i="1"/>
  <c r="E68" i="1"/>
  <c r="F68" i="1"/>
  <c r="D68" i="1"/>
  <c r="S55" i="1"/>
  <c r="X55" i="1" s="1"/>
  <c r="M55" i="1"/>
  <c r="R55" i="1" s="1"/>
  <c r="L55" i="1"/>
  <c r="G55" i="1"/>
  <c r="E24" i="7" l="1"/>
  <c r="Q78" i="1" l="1"/>
  <c r="Q73" i="1"/>
  <c r="Q72" i="1"/>
  <c r="S33" i="4"/>
  <c r="S32" i="4"/>
  <c r="S31" i="4"/>
  <c r="S30" i="4"/>
  <c r="R24" i="1"/>
  <c r="R28" i="1"/>
  <c r="L33" i="1"/>
  <c r="G33" i="1"/>
  <c r="Q35" i="1" l="1"/>
  <c r="Q30" i="4"/>
  <c r="Q31" i="4"/>
  <c r="Q32" i="4"/>
  <c r="Q33" i="4"/>
  <c r="S29" i="8"/>
  <c r="S28" i="8"/>
  <c r="Q71" i="1"/>
  <c r="I70" i="1" l="1"/>
  <c r="J70" i="1"/>
  <c r="K70" i="1"/>
  <c r="N70" i="1"/>
  <c r="O70" i="1"/>
  <c r="P70" i="1"/>
  <c r="T70" i="1"/>
  <c r="U70" i="1"/>
  <c r="V70" i="1"/>
  <c r="W70" i="1"/>
  <c r="I71" i="1"/>
  <c r="J71" i="1"/>
  <c r="K71" i="1"/>
  <c r="N71" i="1"/>
  <c r="O71" i="1"/>
  <c r="P71" i="1"/>
  <c r="T71" i="1"/>
  <c r="U71" i="1"/>
  <c r="V71" i="1"/>
  <c r="W71" i="1"/>
  <c r="I72" i="1"/>
  <c r="J72" i="1"/>
  <c r="K72" i="1"/>
  <c r="N72" i="1"/>
  <c r="O72" i="1"/>
  <c r="P72" i="1"/>
  <c r="T72" i="1"/>
  <c r="U72" i="1"/>
  <c r="V72" i="1"/>
  <c r="W72" i="1"/>
  <c r="R30" i="4"/>
  <c r="R79" i="1" l="1"/>
  <c r="R80" i="1"/>
  <c r="R81" i="1"/>
  <c r="X24" i="1"/>
  <c r="X26" i="1"/>
  <c r="X70" i="1" s="1"/>
  <c r="X31" i="1"/>
  <c r="X32" i="1"/>
  <c r="X42" i="1"/>
  <c r="G58" i="1"/>
  <c r="G59" i="1"/>
  <c r="G60" i="1"/>
  <c r="G61" i="1"/>
  <c r="G62" i="1"/>
  <c r="G64" i="1"/>
  <c r="G65" i="1"/>
  <c r="G40" i="1"/>
  <c r="G72" i="1" s="1"/>
  <c r="G41" i="1"/>
  <c r="G42" i="1"/>
  <c r="G43" i="1"/>
  <c r="G44" i="1"/>
  <c r="G45" i="1"/>
  <c r="G46" i="1"/>
  <c r="G47" i="1"/>
  <c r="G48" i="1"/>
  <c r="G49" i="1"/>
  <c r="G50" i="1"/>
  <c r="L40" i="1"/>
  <c r="L72" i="1" s="1"/>
  <c r="L41" i="1"/>
  <c r="L42" i="1"/>
  <c r="L43" i="1"/>
  <c r="L44" i="1"/>
  <c r="L45" i="1"/>
  <c r="L46" i="1"/>
  <c r="L47" i="1"/>
  <c r="L48" i="1"/>
  <c r="L49" i="1"/>
  <c r="L50" i="1"/>
  <c r="L39" i="1"/>
  <c r="I73" i="1"/>
  <c r="J73" i="1"/>
  <c r="K73" i="1"/>
  <c r="N73" i="1"/>
  <c r="O73" i="1"/>
  <c r="P73" i="1"/>
  <c r="T73" i="1"/>
  <c r="U73" i="1"/>
  <c r="V73" i="1"/>
  <c r="W73" i="1"/>
  <c r="I74" i="1"/>
  <c r="J74" i="1"/>
  <c r="K74" i="1"/>
  <c r="N74" i="1"/>
  <c r="O74" i="1"/>
  <c r="P74" i="1"/>
  <c r="Q74" i="1"/>
  <c r="T74" i="1"/>
  <c r="U74" i="1"/>
  <c r="V74" i="1"/>
  <c r="W74" i="1"/>
  <c r="I75" i="1"/>
  <c r="J75" i="1"/>
  <c r="N75" i="1"/>
  <c r="O75" i="1"/>
  <c r="P75" i="1"/>
  <c r="Q75" i="1"/>
  <c r="T75" i="1"/>
  <c r="U75" i="1"/>
  <c r="V75" i="1"/>
  <c r="W75" i="1"/>
  <c r="I76" i="1"/>
  <c r="J76" i="1"/>
  <c r="K76" i="1"/>
  <c r="N76" i="1"/>
  <c r="O76" i="1"/>
  <c r="P76" i="1"/>
  <c r="Q76" i="1"/>
  <c r="T76" i="1"/>
  <c r="U76" i="1"/>
  <c r="V76" i="1"/>
  <c r="W76" i="1"/>
  <c r="I77" i="1"/>
  <c r="J77" i="1"/>
  <c r="N77" i="1"/>
  <c r="O77" i="1"/>
  <c r="P77" i="1"/>
  <c r="Q77" i="1"/>
  <c r="T77" i="1"/>
  <c r="U77" i="1"/>
  <c r="V77" i="1"/>
  <c r="W77" i="1"/>
  <c r="G78" i="1"/>
  <c r="I78" i="1"/>
  <c r="J78" i="1"/>
  <c r="K78" i="1"/>
  <c r="N78" i="1"/>
  <c r="O78" i="1"/>
  <c r="P78" i="1"/>
  <c r="T78" i="1"/>
  <c r="U78" i="1"/>
  <c r="V78" i="1"/>
  <c r="W78" i="1"/>
  <c r="G74" i="1"/>
  <c r="E18" i="7"/>
  <c r="E34" i="7" s="1"/>
  <c r="X60" i="1"/>
  <c r="L61" i="1"/>
  <c r="L59" i="1"/>
  <c r="L60" i="1"/>
  <c r="E26" i="7"/>
  <c r="B74" i="1"/>
  <c r="B73" i="1"/>
  <c r="K77" i="1"/>
  <c r="S59" i="1"/>
  <c r="X59" i="1" s="1"/>
  <c r="S60" i="1"/>
  <c r="S62" i="1"/>
  <c r="S74" i="1" s="1"/>
  <c r="S63" i="1"/>
  <c r="S75" i="1" s="1"/>
  <c r="X75" i="1" s="1"/>
  <c r="S64" i="1"/>
  <c r="S65" i="1"/>
  <c r="S76" i="1" s="1"/>
  <c r="S66" i="1"/>
  <c r="S77" i="1" s="1"/>
  <c r="S42" i="1"/>
  <c r="S43" i="1"/>
  <c r="X43" i="1" s="1"/>
  <c r="S44" i="1"/>
  <c r="S73" i="1" s="1"/>
  <c r="S45" i="1"/>
  <c r="X45" i="1" s="1"/>
  <c r="S46" i="1"/>
  <c r="X46" i="1" s="1"/>
  <c r="S47" i="1"/>
  <c r="X47" i="1" s="1"/>
  <c r="S48" i="1"/>
  <c r="X48" i="1" s="1"/>
  <c r="S49" i="1"/>
  <c r="X49" i="1" s="1"/>
  <c r="S50" i="1"/>
  <c r="X50" i="1" s="1"/>
  <c r="S51" i="1"/>
  <c r="M62" i="1"/>
  <c r="M74" i="1" s="1"/>
  <c r="M63" i="1"/>
  <c r="M75" i="1" s="1"/>
  <c r="M64" i="1"/>
  <c r="M65" i="1"/>
  <c r="M76" i="1" s="1"/>
  <c r="M66" i="1"/>
  <c r="M77" i="1" s="1"/>
  <c r="M59" i="1"/>
  <c r="R59" i="1" s="1"/>
  <c r="M60" i="1"/>
  <c r="R60" i="1" s="1"/>
  <c r="M42" i="1"/>
  <c r="R42" i="1" s="1"/>
  <c r="M43" i="1"/>
  <c r="R43" i="1" s="1"/>
  <c r="M44" i="1"/>
  <c r="R44" i="1" s="1"/>
  <c r="M45" i="1"/>
  <c r="M50" i="1"/>
  <c r="R50" i="1" s="1"/>
  <c r="S33" i="1"/>
  <c r="X33" i="1" s="1"/>
  <c r="M33" i="1"/>
  <c r="R33" i="1" s="1"/>
  <c r="Q53" i="1"/>
  <c r="R74" i="1" l="1"/>
  <c r="R75" i="1"/>
  <c r="X74" i="1"/>
  <c r="M78" i="1"/>
  <c r="R78" i="1" s="1"/>
  <c r="R45" i="1"/>
  <c r="E35" i="7"/>
  <c r="K75" i="1"/>
  <c r="L75" i="1" s="1"/>
  <c r="G77" i="1"/>
  <c r="G66" i="1"/>
  <c r="L78" i="1"/>
  <c r="L74" i="1"/>
  <c r="L73" i="1"/>
  <c r="G76" i="1"/>
  <c r="R77" i="1"/>
  <c r="X76" i="1"/>
  <c r="X77" i="1"/>
  <c r="R76" i="1"/>
  <c r="G57" i="1"/>
  <c r="X73" i="1"/>
  <c r="L76" i="1"/>
  <c r="G63" i="1"/>
  <c r="G73" i="1"/>
  <c r="L77" i="1"/>
  <c r="S78" i="1"/>
  <c r="X78" i="1" s="1"/>
  <c r="X44" i="1"/>
  <c r="M73" i="1"/>
  <c r="R73" i="1" s="1"/>
  <c r="S61" i="1"/>
  <c r="X61" i="1" s="1"/>
  <c r="M61" i="1"/>
  <c r="R61" i="1" s="1"/>
  <c r="R33" i="4"/>
  <c r="R32" i="4"/>
  <c r="R31" i="4"/>
  <c r="R53" i="1"/>
  <c r="G75" i="1" l="1"/>
  <c r="I33" i="3"/>
  <c r="D33" i="3"/>
  <c r="M25" i="1" l="1"/>
  <c r="R25" i="1" s="1"/>
  <c r="M26" i="1"/>
  <c r="M70" i="1" s="1"/>
  <c r="M27" i="1"/>
  <c r="R27" i="1" s="1"/>
  <c r="M28" i="1"/>
  <c r="M29" i="1"/>
  <c r="R29" i="1" s="1"/>
  <c r="M30" i="1"/>
  <c r="R30" i="1" s="1"/>
  <c r="M31" i="1"/>
  <c r="R31" i="1" s="1"/>
  <c r="M32" i="1"/>
  <c r="R32" i="1" s="1"/>
  <c r="M24" i="1"/>
  <c r="M23" i="1"/>
  <c r="R23" i="1" s="1"/>
  <c r="R71" i="1" l="1"/>
  <c r="M71" i="1"/>
  <c r="L64" i="1"/>
  <c r="L65" i="1"/>
  <c r="L66" i="1"/>
  <c r="L30" i="1"/>
  <c r="L31" i="1"/>
  <c r="L32" i="1"/>
  <c r="X64" i="1" l="1"/>
  <c r="X65" i="1"/>
  <c r="S30" i="1"/>
  <c r="X30" i="1" s="1"/>
  <c r="S31" i="1"/>
  <c r="S32" i="1"/>
  <c r="X80" i="1"/>
  <c r="X81" i="1"/>
  <c r="S81" i="1"/>
  <c r="S80" i="1"/>
  <c r="B77" i="1"/>
  <c r="M80" i="1"/>
  <c r="M81" i="1"/>
  <c r="L80" i="1"/>
  <c r="L81" i="1"/>
  <c r="R64" i="1"/>
  <c r="R65" i="1"/>
  <c r="R66" i="1"/>
  <c r="G80" i="1"/>
  <c r="G81" i="1"/>
  <c r="B76" i="1"/>
  <c r="B75" i="1"/>
  <c r="G30" i="1"/>
  <c r="G31" i="1"/>
  <c r="G32" i="1"/>
  <c r="X66" i="1" l="1"/>
  <c r="J53" i="1" l="1"/>
  <c r="J35" i="1"/>
  <c r="J86" i="1" l="1"/>
  <c r="J36" i="1"/>
  <c r="J83" i="1" l="1"/>
  <c r="R33" i="8"/>
  <c r="R34" i="8"/>
  <c r="R35" i="8"/>
  <c r="R36" i="8"/>
  <c r="R28" i="8"/>
  <c r="R29" i="8"/>
  <c r="R32" i="8" s="1"/>
  <c r="R30" i="8"/>
  <c r="R31" i="8"/>
  <c r="Q29" i="8"/>
  <c r="Q30" i="8"/>
  <c r="S30" i="8" s="1"/>
  <c r="Q31" i="8"/>
  <c r="Q28" i="8"/>
  <c r="T25" i="8"/>
  <c r="T24" i="8"/>
  <c r="T23" i="8"/>
  <c r="T21" i="8"/>
  <c r="T20" i="8"/>
  <c r="T19" i="8"/>
  <c r="T16" i="8"/>
  <c r="T17" i="8"/>
  <c r="T15" i="8"/>
  <c r="R25" i="8"/>
  <c r="Q25" i="8"/>
  <c r="R24" i="8"/>
  <c r="Q24" i="8"/>
  <c r="R23" i="8"/>
  <c r="R26" i="8" s="1"/>
  <c r="Q23" i="8"/>
  <c r="R21" i="8"/>
  <c r="Q21" i="8"/>
  <c r="R20" i="8"/>
  <c r="Q20" i="8"/>
  <c r="R19" i="8"/>
  <c r="R22" i="8" s="1"/>
  <c r="Q19" i="8"/>
  <c r="Q16" i="8"/>
  <c r="R16" i="8"/>
  <c r="S16" i="8" s="1"/>
  <c r="Q17" i="8"/>
  <c r="R17" i="8"/>
  <c r="S17" i="8" s="1"/>
  <c r="R15" i="8"/>
  <c r="Q15" i="8"/>
  <c r="R37" i="8" l="1"/>
  <c r="S31" i="8"/>
  <c r="T26" i="8"/>
  <c r="T22" i="8"/>
  <c r="U17" i="8"/>
  <c r="U16" i="8"/>
  <c r="T18" i="8"/>
  <c r="S19" i="8"/>
  <c r="U19" i="8" s="1"/>
  <c r="R18" i="8"/>
  <c r="S15" i="8"/>
  <c r="S18" i="8" s="1"/>
  <c r="Q18" i="8"/>
  <c r="K37"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29" i="8"/>
  <c r="E30" i="8"/>
  <c r="E31" i="8"/>
  <c r="E28" i="8"/>
  <c r="D37" i="8"/>
  <c r="D32" i="8"/>
  <c r="C32" i="8"/>
  <c r="E32" i="8" s="1"/>
  <c r="D26" i="8"/>
  <c r="F26" i="8"/>
  <c r="C26" i="8"/>
  <c r="D22" i="8"/>
  <c r="E22" i="8"/>
  <c r="F22" i="8"/>
  <c r="C22" i="8"/>
  <c r="D18" i="8"/>
  <c r="F18" i="8"/>
  <c r="C18" i="8"/>
  <c r="E15" i="8"/>
  <c r="G15" i="8" s="1"/>
  <c r="E23" i="7"/>
  <c r="D30" i="4"/>
  <c r="E30" i="4"/>
  <c r="F30" i="4"/>
  <c r="G30" i="4"/>
  <c r="H30" i="4"/>
  <c r="I30" i="4"/>
  <c r="J30" i="4"/>
  <c r="K30" i="4"/>
  <c r="L30" i="4"/>
  <c r="M30" i="4"/>
  <c r="N30" i="4"/>
  <c r="O30" i="4"/>
  <c r="P30" i="4"/>
  <c r="D31" i="4"/>
  <c r="E31" i="4"/>
  <c r="F31" i="4"/>
  <c r="G31" i="4"/>
  <c r="H31" i="4"/>
  <c r="I31" i="4"/>
  <c r="J31" i="4"/>
  <c r="K31" i="4"/>
  <c r="L31" i="4"/>
  <c r="M31" i="4"/>
  <c r="N31" i="4"/>
  <c r="O31" i="4"/>
  <c r="P31" i="4"/>
  <c r="D32" i="4"/>
  <c r="E32" i="4"/>
  <c r="F32" i="4"/>
  <c r="G32" i="4"/>
  <c r="H32" i="4"/>
  <c r="I32" i="4"/>
  <c r="J32" i="4"/>
  <c r="K32" i="4"/>
  <c r="L32" i="4"/>
  <c r="M32" i="4"/>
  <c r="N32" i="4"/>
  <c r="O32" i="4"/>
  <c r="P32" i="4"/>
  <c r="D33" i="4"/>
  <c r="E33" i="4"/>
  <c r="F33" i="4"/>
  <c r="G33" i="4"/>
  <c r="H33" i="4"/>
  <c r="I33" i="4"/>
  <c r="J33" i="4"/>
  <c r="K33" i="4"/>
  <c r="L33" i="4"/>
  <c r="M33" i="4"/>
  <c r="N33" i="4"/>
  <c r="O33" i="4"/>
  <c r="P33" i="4"/>
  <c r="C31" i="4"/>
  <c r="C32" i="4"/>
  <c r="C33" i="4"/>
  <c r="C30" i="4"/>
  <c r="P12" i="4"/>
  <c r="J37" i="3"/>
  <c r="K37" i="3"/>
  <c r="J32" i="3"/>
  <c r="K32" i="3"/>
  <c r="I32" i="3"/>
  <c r="J27" i="3"/>
  <c r="K27" i="3"/>
  <c r="I27" i="3"/>
  <c r="J22" i="3"/>
  <c r="K22" i="3"/>
  <c r="I22" i="3"/>
  <c r="J18" i="3"/>
  <c r="K18" i="3"/>
  <c r="I18" i="3"/>
  <c r="F37" i="3"/>
  <c r="F32" i="3"/>
  <c r="E32" i="3"/>
  <c r="D32" i="3"/>
  <c r="E27" i="3"/>
  <c r="F27" i="3"/>
  <c r="D27" i="3"/>
  <c r="F22" i="3"/>
  <c r="G22" i="3" s="1"/>
  <c r="E22" i="3"/>
  <c r="D22" i="3"/>
  <c r="E18" i="3"/>
  <c r="F18" i="3"/>
  <c r="D18" i="3"/>
  <c r="L32" i="3"/>
  <c r="L31" i="3"/>
  <c r="L30" i="3"/>
  <c r="L29" i="3"/>
  <c r="L28" i="3"/>
  <c r="L27" i="3"/>
  <c r="L26" i="3"/>
  <c r="L25" i="3"/>
  <c r="L24" i="3"/>
  <c r="L23" i="3"/>
  <c r="L21" i="3"/>
  <c r="L20" i="3"/>
  <c r="L19" i="3"/>
  <c r="G16" i="3"/>
  <c r="G17" i="3"/>
  <c r="G18" i="3"/>
  <c r="G19" i="3"/>
  <c r="G20" i="3"/>
  <c r="G21" i="3"/>
  <c r="G23" i="3"/>
  <c r="G24" i="3"/>
  <c r="G25" i="3"/>
  <c r="G26" i="3"/>
  <c r="G28" i="3"/>
  <c r="G29" i="3"/>
  <c r="G30" i="3"/>
  <c r="G31" i="3"/>
  <c r="G15" i="3"/>
  <c r="E21" i="2"/>
  <c r="E22" i="2"/>
  <c r="E23" i="2"/>
  <c r="D24" i="2"/>
  <c r="W53" i="1"/>
  <c r="V53" i="1"/>
  <c r="U53" i="1"/>
  <c r="T53" i="1"/>
  <c r="W35" i="1"/>
  <c r="V35" i="1"/>
  <c r="U35" i="1"/>
  <c r="U36" i="1" s="1"/>
  <c r="T35" i="1"/>
  <c r="T36" i="1" s="1"/>
  <c r="M68" i="1"/>
  <c r="P53" i="1"/>
  <c r="O53" i="1"/>
  <c r="N53" i="1"/>
  <c r="P35" i="1"/>
  <c r="P36" i="1" s="1"/>
  <c r="O35" i="1"/>
  <c r="O36" i="1" s="1"/>
  <c r="N35" i="1"/>
  <c r="N36" i="1" s="1"/>
  <c r="S85" i="1"/>
  <c r="S84" i="1"/>
  <c r="S58" i="1"/>
  <c r="X58" i="1" s="1"/>
  <c r="S57" i="1"/>
  <c r="X57" i="1" s="1"/>
  <c r="S56" i="1"/>
  <c r="X56" i="1" s="1"/>
  <c r="S54" i="1"/>
  <c r="S41" i="1"/>
  <c r="X41" i="1" s="1"/>
  <c r="S40" i="1"/>
  <c r="S72" i="1" s="1"/>
  <c r="S39" i="1"/>
  <c r="X39" i="1" s="1"/>
  <c r="X37" i="1"/>
  <c r="S29" i="1"/>
  <c r="X29" i="1" s="1"/>
  <c r="S28" i="1"/>
  <c r="X28" i="1" s="1"/>
  <c r="S27" i="1"/>
  <c r="S71" i="1" s="1"/>
  <c r="S26" i="1"/>
  <c r="S70" i="1" s="1"/>
  <c r="S25" i="1"/>
  <c r="X25" i="1" s="1"/>
  <c r="S24" i="1"/>
  <c r="S23" i="1"/>
  <c r="X23" i="1" s="1"/>
  <c r="R37" i="1"/>
  <c r="M39" i="1"/>
  <c r="R39" i="1" s="1"/>
  <c r="M40" i="1"/>
  <c r="M41" i="1"/>
  <c r="R41" i="1" s="1"/>
  <c r="M46" i="1"/>
  <c r="R46" i="1" s="1"/>
  <c r="M47" i="1"/>
  <c r="R47" i="1" s="1"/>
  <c r="M48" i="1"/>
  <c r="R48" i="1" s="1"/>
  <c r="M49" i="1"/>
  <c r="R49" i="1" s="1"/>
  <c r="M54" i="1"/>
  <c r="M56" i="1"/>
  <c r="R56" i="1" s="1"/>
  <c r="M57" i="1"/>
  <c r="R57" i="1" s="1"/>
  <c r="M58" i="1"/>
  <c r="R58" i="1" s="1"/>
  <c r="M84" i="1"/>
  <c r="M85" i="1"/>
  <c r="X85" i="1"/>
  <c r="X84" i="1"/>
  <c r="R84" i="1"/>
  <c r="R85" i="1"/>
  <c r="K53" i="1"/>
  <c r="I53" i="1"/>
  <c r="H53" i="1"/>
  <c r="K35" i="1"/>
  <c r="I35" i="1"/>
  <c r="L85" i="1"/>
  <c r="L63" i="1"/>
  <c r="L62" i="1"/>
  <c r="L58" i="1"/>
  <c r="L57" i="1"/>
  <c r="L56" i="1"/>
  <c r="L37" i="1"/>
  <c r="L28" i="1"/>
  <c r="L27" i="1"/>
  <c r="L71" i="1" s="1"/>
  <c r="L26" i="1"/>
  <c r="L70" i="1" s="1"/>
  <c r="L25" i="1"/>
  <c r="L24" i="1"/>
  <c r="L23" i="1"/>
  <c r="G37" i="1"/>
  <c r="G39" i="1"/>
  <c r="G56" i="1"/>
  <c r="G85" i="1"/>
  <c r="G24" i="1"/>
  <c r="G25" i="1"/>
  <c r="G26" i="1"/>
  <c r="G70" i="1" s="1"/>
  <c r="G27" i="1"/>
  <c r="G71" i="1" s="1"/>
  <c r="G28" i="1"/>
  <c r="F53" i="1"/>
  <c r="E53" i="1"/>
  <c r="D53" i="1"/>
  <c r="C53" i="1"/>
  <c r="C86" i="1" l="1"/>
  <c r="S36" i="1"/>
  <c r="D13" i="2" s="1"/>
  <c r="M36" i="1"/>
  <c r="M72" i="1"/>
  <c r="R40" i="1"/>
  <c r="R72" i="1" s="1"/>
  <c r="U86" i="1"/>
  <c r="T86" i="1"/>
  <c r="X40" i="1"/>
  <c r="X72" i="1" s="1"/>
  <c r="X27" i="1"/>
  <c r="X71" i="1" s="1"/>
  <c r="N86" i="1"/>
  <c r="O86" i="1"/>
  <c r="Q36" i="1"/>
  <c r="R26" i="1" s="1"/>
  <c r="Q86" i="1"/>
  <c r="P86" i="1"/>
  <c r="V86" i="1"/>
  <c r="V36" i="1"/>
  <c r="W36" i="1"/>
  <c r="W86" i="1"/>
  <c r="I86" i="1"/>
  <c r="I36" i="1"/>
  <c r="K36" i="1"/>
  <c r="K86" i="1"/>
  <c r="R68" i="1"/>
  <c r="G32" i="3"/>
  <c r="R63" i="1"/>
  <c r="X62" i="1"/>
  <c r="X63" i="1"/>
  <c r="R62" i="1"/>
  <c r="G53" i="1"/>
  <c r="G68" i="1"/>
  <c r="M53" i="1"/>
  <c r="C15" i="2" s="1"/>
  <c r="N22" i="8"/>
  <c r="U15" i="8"/>
  <c r="U18" i="8" s="1"/>
  <c r="N26" i="8"/>
  <c r="N18" i="8"/>
  <c r="L18" i="8"/>
  <c r="L22" i="8"/>
  <c r="L26" i="8"/>
  <c r="E26" i="8"/>
  <c r="G22" i="8"/>
  <c r="G18" i="8"/>
  <c r="G26" i="8"/>
  <c r="E18" i="8"/>
  <c r="D83" i="1"/>
  <c r="S68" i="1"/>
  <c r="D16" i="2" s="1"/>
  <c r="C14" i="2"/>
  <c r="H83" i="1"/>
  <c r="M35" i="1"/>
  <c r="D14" i="2"/>
  <c r="S53" i="1"/>
  <c r="C13" i="2"/>
  <c r="L22" i="3"/>
  <c r="G27" i="3"/>
  <c r="V83" i="1"/>
  <c r="W83" i="1"/>
  <c r="T83" i="1"/>
  <c r="U83" i="1"/>
  <c r="O83" i="1"/>
  <c r="P83" i="1"/>
  <c r="N83" i="1"/>
  <c r="S35" i="1"/>
  <c r="I83" i="1"/>
  <c r="F83" i="1"/>
  <c r="L68" i="1"/>
  <c r="E83" i="1"/>
  <c r="K83" i="1"/>
  <c r="L53" i="1"/>
  <c r="X36" i="1" l="1"/>
  <c r="E13" i="2"/>
  <c r="R36" i="1"/>
  <c r="Q70" i="1"/>
  <c r="Q83" i="1" s="1"/>
  <c r="R70" i="1"/>
  <c r="X35" i="1"/>
  <c r="S86" i="1"/>
  <c r="X86" i="1" s="1"/>
  <c r="R35" i="1"/>
  <c r="M86" i="1"/>
  <c r="R86" i="1" s="1"/>
  <c r="D15" i="2"/>
  <c r="D18" i="2" s="1"/>
  <c r="C16" i="2"/>
  <c r="E16" i="2" s="1"/>
  <c r="E14" i="2"/>
  <c r="M83" i="1"/>
  <c r="C17" i="2" s="1"/>
  <c r="L83" i="1"/>
  <c r="X68" i="1"/>
  <c r="G83" i="1"/>
  <c r="X53" i="1"/>
  <c r="S83" i="1"/>
  <c r="E15" i="2" l="1"/>
  <c r="E18" i="2" s="1"/>
  <c r="C18" i="2"/>
  <c r="R83" i="1"/>
  <c r="L33" i="3"/>
  <c r="C24" i="2"/>
  <c r="E20" i="2"/>
  <c r="E24" i="2" s="1"/>
  <c r="X83" i="1"/>
  <c r="D17" i="2"/>
  <c r="C25" i="2" l="1"/>
  <c r="E17" i="2"/>
  <c r="E25" i="2" s="1"/>
  <c r="E30" i="2" s="1"/>
  <c r="G30" i="2" s="1"/>
  <c r="D25" i="2"/>
  <c r="D30" i="2" s="1"/>
  <c r="J36" i="8" s="1"/>
  <c r="L36" i="8" s="1"/>
  <c r="C30" i="2" l="1"/>
  <c r="C36" i="8" s="1"/>
  <c r="Q36" i="8"/>
  <c r="S36" i="8" s="1"/>
  <c r="E36" i="8"/>
  <c r="L34" i="8"/>
  <c r="L35" i="8"/>
  <c r="E35" i="8"/>
  <c r="E33" i="8"/>
  <c r="C37" i="8"/>
  <c r="E37" i="8" s="1"/>
  <c r="Q33" i="8"/>
  <c r="J37" i="8"/>
  <c r="L37" i="8" s="1"/>
  <c r="L33" i="8"/>
  <c r="Q35" i="8" l="1"/>
  <c r="S35" i="8" s="1"/>
  <c r="Q34" i="8"/>
  <c r="E34" i="8"/>
  <c r="S33" i="8"/>
  <c r="E37" i="7"/>
  <c r="S34" i="8" l="1"/>
  <c r="Q26" i="8"/>
  <c r="Q37" i="8"/>
  <c r="S37" i="8" s="1"/>
  <c r="E27" i="7"/>
  <c r="E35" i="1"/>
  <c r="E86" i="1" s="1"/>
  <c r="G23" i="1"/>
  <c r="D35" i="1"/>
  <c r="D86" i="1" s="1"/>
  <c r="F35" i="1"/>
  <c r="F86" i="1" l="1"/>
  <c r="D36" i="1"/>
  <c r="E36" i="1"/>
  <c r="E33" i="3"/>
  <c r="F36" i="1"/>
  <c r="E37" i="3" l="1"/>
  <c r="Q12" i="4"/>
  <c r="G33" i="3" l="1"/>
  <c r="L84" i="1"/>
  <c r="G84" i="1"/>
  <c r="G29" i="1"/>
  <c r="H35" i="1" l="1"/>
  <c r="L29" i="1"/>
  <c r="H36" i="1" l="1"/>
  <c r="H86" i="1"/>
  <c r="L36" i="1"/>
  <c r="L35" i="1"/>
  <c r="G36" i="1"/>
  <c r="G35" i="1"/>
  <c r="T21" i="4" l="1"/>
  <c r="I36" i="3"/>
  <c r="L36" i="3" s="1"/>
  <c r="T12" i="4"/>
  <c r="D36" i="3"/>
  <c r="G36" i="3" s="1"/>
  <c r="L35" i="3"/>
  <c r="G35" i="3"/>
  <c r="J88" i="1"/>
  <c r="E29" i="7"/>
  <c r="E28" i="7" s="1"/>
  <c r="G34" i="3"/>
  <c r="G86" i="1"/>
  <c r="L86" i="1"/>
  <c r="I37" i="3" l="1"/>
  <c r="L37" i="3" s="1"/>
  <c r="L34" i="3"/>
  <c r="D37" i="3"/>
  <c r="G37" i="3" s="1"/>
  <c r="E36" i="7"/>
  <c r="E38" i="7" s="1"/>
  <c r="E39" i="7" s="1"/>
  <c r="E30" i="7"/>
  <c r="U26" i="8"/>
  <c r="U23" i="8"/>
  <c r="S23" i="8"/>
  <c r="S26" i="8"/>
  <c r="U21" i="8"/>
  <c r="S21" i="8"/>
  <c r="U25" i="8"/>
  <c r="S25" i="8"/>
  <c r="S32" i="8"/>
  <c r="Q32" i="8"/>
  <c r="S24" i="8"/>
  <c r="U24" i="8"/>
  <c r="S22" i="8"/>
  <c r="Q22" i="8"/>
  <c r="S20" i="8"/>
  <c r="U20" i="8"/>
  <c r="U22" i="8"/>
</calcChain>
</file>

<file path=xl/sharedStrings.xml><?xml version="1.0" encoding="utf-8"?>
<sst xmlns="http://schemas.openxmlformats.org/spreadsheetml/2006/main" count="602" uniqueCount="280">
  <si>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</si>
  <si>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</si>
  <si>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</si>
  <si>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</si>
  <si>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</si>
  <si>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[Ameren Illinois] Ex Ante Results - Section 8-103B/8-104 (EEPS) Programs [PY2025 Q1]</t>
  </si>
  <si>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</si>
  <si>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</si>
  <si>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</si>
  <si>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</si>
  <si>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</si>
  <si>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</si>
  <si>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</si>
  <si>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</si>
  <si>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</si>
  <si>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</si>
  <si>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</si>
  <si>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</si>
  <si>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</si>
  <si>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</si>
  <si>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2025
Approved Budget**</t>
  </si>
  <si>
    <t>% of Costs YTD Compared to Approved Budget</t>
  </si>
  <si>
    <t>Commercial &amp; Industrial Programs</t>
  </si>
  <si>
    <t>Standard - Prescriptive</t>
  </si>
  <si>
    <t>Standard - SBDI</t>
  </si>
  <si>
    <t>Standard - Small Business Energy Performance</t>
  </si>
  <si>
    <t>Midstream - Lighting</t>
  </si>
  <si>
    <t>Midstream - HVAC</t>
  </si>
  <si>
    <t>Midstream - Food Service</t>
  </si>
  <si>
    <t>Custom</t>
  </si>
  <si>
    <t>Retro-Commissioning</t>
  </si>
  <si>
    <t>Streetlights - Municipality-Owned</t>
  </si>
  <si>
    <t>Streetlights - Utility-Owned</t>
  </si>
  <si>
    <t>Business Market Transformation</t>
  </si>
  <si>
    <t>C&amp;I Programs Subtotal</t>
  </si>
  <si>
    <t>C&amp;I Programs - Private Sector Total</t>
  </si>
  <si>
    <t>C&amp;I Programs - Public Sector Total</t>
  </si>
  <si>
    <t>Residential Programs</t>
  </si>
  <si>
    <t>Home Efficiency</t>
  </si>
  <si>
    <t>Midstream - Midstream HVAC</t>
  </si>
  <si>
    <t>Multifamily - Direct Install</t>
  </si>
  <si>
    <t>Multifamily - Heat Pumps</t>
  </si>
  <si>
    <t>Multifamily - Whole Building</t>
  </si>
  <si>
    <t>DDEP - School Kits</t>
  </si>
  <si>
    <t>DDEP - High School Innovation/Residential Targeted</t>
  </si>
  <si>
    <t>Retail Products - POP</t>
  </si>
  <si>
    <t>Retail Products - Online Marketplace</t>
  </si>
  <si>
    <t>Retail Products - ECT</t>
  </si>
  <si>
    <t>Resisdential Market Transformation</t>
  </si>
  <si>
    <t>Public Housing</t>
  </si>
  <si>
    <t>Residential Programs Subtotal</t>
  </si>
  <si>
    <t>Income Qualified Programs</t>
  </si>
  <si>
    <t>IQ - New Construction</t>
  </si>
  <si>
    <t>IQ - CAA</t>
  </si>
  <si>
    <t>IQ - Single Family</t>
  </si>
  <si>
    <t>IQ - Single Family JU</t>
  </si>
  <si>
    <t>IQ - Multifamily</t>
  </si>
  <si>
    <t>IQ - Multifamily JU</t>
  </si>
  <si>
    <t>IQ - Retail Products (POP, OM)</t>
  </si>
  <si>
    <t>IQ - Community Kits</t>
  </si>
  <si>
    <t>IQ - Smart Savers</t>
  </si>
  <si>
    <t>IQ - Electrification</t>
  </si>
  <si>
    <t>IQ - Manufactured Homes</t>
  </si>
  <si>
    <t>IQ - Healthier Homes</t>
  </si>
  <si>
    <t>Income Qualified Programs Subtotal</t>
  </si>
  <si>
    <t>Third Party Programs (Section 8-103B - Beginning in 2019)</t>
  </si>
  <si>
    <t>Midstream - Lighting (Business)</t>
  </si>
  <si>
    <t>Midstream - HVAC (Business)</t>
  </si>
  <si>
    <t>Midstream - Midstream HVAC (Residential)</t>
  </si>
  <si>
    <t>One Stop Shop for Homeless Facilities</t>
  </si>
  <si>
    <t>NA</t>
  </si>
  <si>
    <t>Smart Home Engagement</t>
  </si>
  <si>
    <t>Advanced Thermostats with TOU</t>
  </si>
  <si>
    <t>Third Party Programs (Section 8-103B - Beginning in 2019)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</si>
  <si>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</si>
  <si>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</si>
  <si>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</si>
  <si>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</si>
  <si>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</si>
  <si>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</si>
  <si>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</si>
  <si>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</si>
  <si>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</si>
  <si>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</si>
  <si>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</si>
  <si>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[Ameren Illinois] Section 8-103B/8-104 (EEPS) Costs [PY2025 Q1]</t>
  </si>
  <si>
    <t>Section 8-103B/8-104 (EEPS) Cost Category</t>
  </si>
  <si>
    <t xml:space="preserve"> 2025
Actual Electric Costs YTD</t>
  </si>
  <si>
    <t xml:space="preserve"> 2025
Actual Gas Costs YTD</t>
  </si>
  <si>
    <t xml:space="preserve"> 2025
Total Actual Costs YTD</t>
  </si>
  <si>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</si>
  <si>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</si>
  <si>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</si>
  <si>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</si>
  <si>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</si>
  <si>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</si>
  <si>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Market Development Initiative</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</si>
  <si>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</si>
  <si>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</si>
  <si>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</si>
  <si>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</si>
  <si>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</si>
  <si>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t>[Ameren Illinois] Section 8-103B/8-104 (EEPS) Costs  [PY2025 Q1]</t>
  </si>
  <si>
    <t>Overall Total Costs</t>
  </si>
  <si>
    <t>2025
Approved Budget</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</si>
  <si>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</si>
  <si>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</si>
  <si>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</si>
  <si>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</si>
  <si>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</si>
  <si>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</si>
  <si>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[Ameren Illinois] CPAS and AAIG Progress Ex Ante Results - Section 8-103B Portfolio [PY2025 Q1]</t>
  </si>
  <si>
    <t>Cumulative Persisting Annual Savings (CPAS) Goal Progress [PY2024 Q3]</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</si>
  <si>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</si>
  <si>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</si>
  <si>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</si>
  <si>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</si>
  <si>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</si>
  <si>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</si>
  <si>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</si>
  <si>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</si>
  <si>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</si>
  <si>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</si>
  <si>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</si>
  <si>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</si>
  <si>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</si>
  <si>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</si>
  <si>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</si>
  <si>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</si>
  <si>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</si>
  <si>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</si>
  <si>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</si>
  <si>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</si>
  <si>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</si>
  <si>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</si>
  <si>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</si>
  <si>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</si>
  <si>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</si>
  <si>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</si>
  <si>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</si>
  <si>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</si>
  <si>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</si>
  <si>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</si>
  <si>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</si>
  <si>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</si>
  <si>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</si>
  <si>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</si>
  <si>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</si>
  <si>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</si>
  <si>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</si>
  <si>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</si>
  <si>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</si>
  <si>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</si>
  <si>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</si>
  <si>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</si>
  <si>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</si>
  <si>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</si>
  <si>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</si>
  <si>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</si>
  <si>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</si>
  <si>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</si>
  <si>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</si>
  <si>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</si>
  <si>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</si>
  <si>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</si>
  <si>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</si>
  <si>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</si>
  <si>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</si>
  <si>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</si>
  <si>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</si>
  <si>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</si>
  <si>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</si>
  <si>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</si>
  <si>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</si>
  <si>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</si>
  <si>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</si>
  <si>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</si>
  <si>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</si>
  <si>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[Ameren Illinois] Section 8-103B/8-104 (EEPS) Energy Saved (MWh or therms) as of [PY2025 Q1]</t>
  </si>
  <si>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</si>
  <si>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</si>
  <si>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</si>
  <si>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</si>
  <si>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</si>
  <si>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</si>
  <si>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</si>
  <si>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</si>
  <si>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</si>
  <si>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</si>
  <si>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</si>
  <si>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</si>
  <si>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</si>
  <si>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</si>
  <si>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</si>
  <si>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</si>
  <si>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</si>
  <si>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</si>
  <si>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</si>
  <si>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</si>
  <si>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</si>
  <si>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</si>
  <si>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</si>
  <si>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</si>
  <si>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</si>
  <si>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</si>
  <si>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</si>
  <si>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</si>
  <si>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</si>
  <si>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</si>
  <si>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</si>
  <si>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</si>
  <si>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</si>
  <si>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</si>
  <si>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</si>
  <si>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</si>
  <si>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</si>
  <si>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</si>
  <si>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</si>
  <si>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</si>
  <si>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</si>
  <si>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</si>
  <si>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</si>
  <si>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</si>
  <si>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</si>
  <si>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</si>
  <si>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</si>
  <si>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</si>
  <si>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</si>
  <si>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</si>
  <si>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</si>
  <si>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</si>
  <si>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</si>
  <si>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Ex-Ante</t>
  </si>
  <si>
    <t>2022-2025 Plan Total</t>
  </si>
  <si>
    <t>Ex Ante</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</si>
  <si>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</si>
  <si>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</si>
  <si>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</si>
  <si>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</si>
  <si>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</si>
  <si>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Environmental and Economic Impacts for the [Ameren Illinois] Service Territory as of [PY2025 Q1]</t>
  </si>
  <si>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</si>
  <si>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</si>
  <si>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</si>
  <si>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</si>
  <si>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</si>
  <si>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</si>
  <si>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</si>
  <si>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</si>
  <si>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</si>
  <si>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</si>
  <si>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</si>
  <si>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</si>
  <si>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</si>
  <si>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</si>
  <si>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</si>
  <si>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</si>
  <si>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</si>
  <si>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</si>
  <si>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</si>
  <si>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[Ameren Illinois] Service Territory Historical Energy Efficiency Costs as of [PY2025 Q1]</t>
  </si>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</sst>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s>
  <fonts count="44">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
      <sz val="11"/>
      <color theme="0" tint="-4.9989318521683403E-2"/>
      <name val="Calibri"/>
      <family val="2"/>
      <scheme val="minor"/>
    </font>
    <font>
      <sz val="10"/>
      <color theme="0" tint="-0.14999847407452621"/>
      <name val="Century Gothic"/>
      <family val="2"/>
    </font>
    <font>
      <b/>
      <sz val="10"/>
      <color rgb="FF000000"/>
      <name val="Century Gothic"/>
      <family val="2"/>
    </font>
    <font>
      <sz val="11"/>
      <color rgb="FF000000"/>
      <name val="Calibri"/>
      <family val="2"/>
      <scheme val="minor"/>
    </font>
    <font>
      <b/>
      <sz val="10"/>
      <color theme="1"/>
      <name val="Century Gothic"/>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60">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top style="thin">
        <color auto="1"/>
      </top>
      <bottom style="thin">
        <color indexed="64"/>
      </bottom>
      <diagonal/>
    </border>
    <border>
      <left/>
      <right style="medium">
        <color rgb="FF000000"/>
      </right>
      <top style="thin">
        <color auto="1"/>
      </top>
      <bottom style="thin">
        <color indexed="64"/>
      </bottom>
      <diagonal/>
    </border>
    <border>
      <left style="medium">
        <color rgb="FF000000"/>
      </left>
      <right style="thin">
        <color indexed="64"/>
      </right>
      <top style="thin">
        <color auto="1"/>
      </top>
      <bottom style="thin">
        <color indexed="64"/>
      </bottom>
      <diagonal/>
    </border>
    <border>
      <left style="thin">
        <color indexed="64"/>
      </left>
      <right style="medium">
        <color rgb="FF000000"/>
      </right>
      <top style="thin">
        <color auto="1"/>
      </top>
      <bottom style="thin">
        <color indexed="64"/>
      </bottom>
      <diagonal/>
    </border>
    <border>
      <left style="medium">
        <color rgb="FF000000"/>
      </left>
      <right style="thin">
        <color indexed="64"/>
      </right>
      <top style="thin">
        <color auto="1"/>
      </top>
      <bottom style="medium">
        <color rgb="FF000000"/>
      </bottom>
      <diagonal/>
    </border>
    <border>
      <left style="thin">
        <color indexed="64"/>
      </left>
      <right style="thin">
        <color indexed="64"/>
      </right>
      <top style="thin">
        <color auto="1"/>
      </top>
      <bottom style="medium">
        <color rgb="FF000000"/>
      </bottom>
      <diagonal/>
    </border>
    <border>
      <left style="thin">
        <color indexed="64"/>
      </left>
      <right style="medium">
        <color rgb="FF000000"/>
      </right>
      <top style="thin">
        <color auto="1"/>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97">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4" fillId="5" borderId="24" xfId="1" applyNumberFormat="1" applyFont="1" applyFill="1" applyBorder="1" applyAlignment="1">
      <alignment horizontal="center" vertic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3" fillId="6" borderId="1" xfId="2" applyFont="1" applyFill="1" applyBorder="1" applyAlignment="1">
      <alignment horizontal="center"/>
    </xf>
    <xf numFmtId="44" fontId="4" fillId="6" borderId="1" xfId="2" applyFont="1" applyFill="1" applyBorder="1" applyAlignment="1">
      <alignment horizontal="center"/>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8" fillId="10" borderId="0" xfId="0" applyFont="1" applyFill="1"/>
    <xf numFmtId="10" fontId="2" fillId="10" borderId="22" xfId="4" applyNumberFormat="1" applyFont="1" applyFill="1" applyBorder="1" applyAlignment="1">
      <alignment horizontal="center" wrapText="1"/>
    </xf>
    <xf numFmtId="0" fontId="29" fillId="10" borderId="0" xfId="0" applyFont="1" applyFill="1"/>
    <xf numFmtId="10" fontId="2" fillId="10" borderId="22" xfId="4" applyNumberFormat="1" applyFont="1" applyFill="1" applyBorder="1" applyAlignment="1">
      <alignment horizontal="center"/>
    </xf>
    <xf numFmtId="10" fontId="30" fillId="10" borderId="22" xfId="4" applyNumberFormat="1" applyFont="1" applyFill="1" applyBorder="1" applyAlignment="1">
      <alignment horizontal="center"/>
    </xf>
    <xf numFmtId="0" fontId="31" fillId="10" borderId="0" xfId="0" applyFont="1" applyFill="1"/>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0" fontId="3" fillId="12" borderId="20" xfId="4" applyNumberFormat="1"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0" fontId="32" fillId="6" borderId="22" xfId="4" applyNumberFormat="1" applyFont="1" applyFill="1" applyBorder="1" applyAlignment="1">
      <alignment horizontal="center"/>
    </xf>
    <xf numFmtId="10" fontId="3"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0" fillId="10" borderId="1" xfId="0" applyFont="1" applyFill="1" applyBorder="1" applyAlignment="1">
      <alignment vertical="center"/>
    </xf>
    <xf numFmtId="44" fontId="30" fillId="10" borderId="1" xfId="2" applyFont="1" applyFill="1" applyBorder="1" applyAlignment="1">
      <alignment vertical="center"/>
    </xf>
    <xf numFmtId="44" fontId="30" fillId="10" borderId="13" xfId="2" applyFont="1" applyFill="1" applyBorder="1" applyAlignment="1">
      <alignment vertical="center"/>
    </xf>
    <xf numFmtId="0" fontId="7" fillId="10" borderId="13" xfId="0" applyFont="1" applyFill="1" applyBorder="1" applyAlignment="1">
      <alignment horizontal="left" vertical="center" wrapText="1"/>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1"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4" fillId="10" borderId="0" xfId="0" applyFont="1" applyFill="1"/>
    <xf numFmtId="0" fontId="24" fillId="10" borderId="0" xfId="0" applyFont="1" applyFill="1" applyAlignment="1">
      <alignment horizontal="center"/>
    </xf>
    <xf numFmtId="0" fontId="22" fillId="10" borderId="0" xfId="0" applyFont="1" applyFill="1"/>
    <xf numFmtId="0" fontId="23" fillId="10" borderId="0" xfId="0" applyFont="1" applyFill="1"/>
    <xf numFmtId="0" fontId="25" fillId="10" borderId="8" xfId="0" applyFont="1" applyFill="1" applyBorder="1" applyAlignment="1">
      <alignment vertical="center"/>
    </xf>
    <xf numFmtId="0" fontId="25" fillId="10" borderId="9" xfId="0" applyFont="1" applyFill="1" applyBorder="1" applyAlignment="1">
      <alignment vertical="center"/>
    </xf>
    <xf numFmtId="0" fontId="25" fillId="10" borderId="10" xfId="0" applyFont="1" applyFill="1" applyBorder="1" applyAlignment="1">
      <alignment vertical="center"/>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5"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43" fontId="0" fillId="10" borderId="0" xfId="1" applyFont="1" applyFill="1"/>
    <xf numFmtId="43" fontId="0" fillId="10" borderId="0" xfId="0" applyNumberFormat="1" applyFill="1"/>
    <xf numFmtId="165" fontId="7" fillId="0" borderId="1" xfId="1" applyNumberFormat="1" applyFont="1" applyFill="1" applyBorder="1" applyAlignment="1">
      <alignment horizontal="center"/>
    </xf>
    <xf numFmtId="0" fontId="9" fillId="11" borderId="8" xfId="0" applyFont="1" applyFill="1" applyBorder="1" applyAlignment="1">
      <alignment horizontal="left" vertical="top"/>
    </xf>
    <xf numFmtId="0" fontId="9" fillId="11" borderId="9" xfId="0" applyFont="1" applyFill="1" applyBorder="1" applyAlignment="1">
      <alignment horizontal="left" vertical="top"/>
    </xf>
    <xf numFmtId="0" fontId="9" fillId="11" borderId="9" xfId="0" applyFont="1" applyFill="1" applyBorder="1" applyAlignment="1">
      <alignment horizontal="right" vertical="top"/>
    </xf>
    <xf numFmtId="0" fontId="9" fillId="11" borderId="10" xfId="0" applyFont="1" applyFill="1" applyBorder="1" applyAlignment="1">
      <alignment horizontal="left" vertical="top"/>
    </xf>
    <xf numFmtId="44" fontId="5" fillId="0" borderId="1" xfId="2" applyFont="1" applyFill="1" applyBorder="1" applyAlignment="1">
      <alignment horizontal="center"/>
    </xf>
    <xf numFmtId="44" fontId="7" fillId="0" borderId="13" xfId="2" applyFont="1" applyFill="1" applyBorder="1" applyAlignment="1">
      <alignment horizontal="left" vertical="center"/>
    </xf>
    <xf numFmtId="44" fontId="7" fillId="0" borderId="1" xfId="2" applyFont="1" applyFill="1" applyBorder="1" applyAlignment="1">
      <alignment vertical="center"/>
    </xf>
    <xf numFmtId="165" fontId="0" fillId="0" borderId="1" xfId="1" applyNumberFormat="1" applyFont="1" applyFill="1" applyBorder="1" applyAlignment="1">
      <alignment horizontal="center"/>
    </xf>
    <xf numFmtId="164" fontId="4" fillId="5" borderId="23" xfId="2" applyNumberFormat="1" applyFont="1" applyFill="1" applyBorder="1" applyAlignment="1">
      <alignment horizontal="left" vertical="center" wrapText="1"/>
    </xf>
    <xf numFmtId="164" fontId="4" fillId="5" borderId="24" xfId="2" applyNumberFormat="1" applyFont="1" applyFill="1" applyBorder="1" applyAlignment="1">
      <alignment horizontal="center" vertical="center"/>
    </xf>
    <xf numFmtId="165" fontId="0" fillId="10" borderId="0" xfId="0" applyNumberFormat="1" applyFill="1"/>
    <xf numFmtId="10" fontId="0" fillId="10" borderId="0" xfId="0" applyNumberFormat="1" applyFill="1"/>
    <xf numFmtId="0" fontId="39" fillId="10" borderId="0" xfId="0" applyFont="1" applyFill="1"/>
    <xf numFmtId="10" fontId="40" fillId="10" borderId="22" xfId="4" applyNumberFormat="1" applyFont="1" applyFill="1" applyBorder="1" applyAlignment="1">
      <alignment horizontal="center"/>
    </xf>
    <xf numFmtId="0" fontId="5" fillId="8" borderId="1" xfId="0" applyFont="1" applyFill="1" applyBorder="1" applyAlignment="1">
      <alignment horizontal="center" vertical="center"/>
    </xf>
    <xf numFmtId="10" fontId="7" fillId="10" borderId="8" xfId="4" applyNumberFormat="1" applyFont="1" applyFill="1" applyBorder="1" applyAlignment="1">
      <alignment horizontal="center" wrapText="1"/>
    </xf>
    <xf numFmtId="165" fontId="10" fillId="6" borderId="1" xfId="1" applyNumberFormat="1" applyFont="1" applyFill="1" applyBorder="1" applyAlignment="1">
      <alignment horizontal="center"/>
    </xf>
    <xf numFmtId="10" fontId="10" fillId="6" borderId="8" xfId="4" applyNumberFormat="1" applyFont="1" applyFill="1" applyBorder="1" applyAlignment="1">
      <alignment horizontal="center"/>
    </xf>
    <xf numFmtId="165" fontId="7" fillId="3" borderId="1" xfId="1" applyNumberFormat="1" applyFont="1" applyFill="1" applyBorder="1" applyAlignment="1">
      <alignment horizontal="center" wrapText="1"/>
    </xf>
    <xf numFmtId="10" fontId="7" fillId="3" borderId="8" xfId="4" applyNumberFormat="1" applyFont="1" applyFill="1" applyBorder="1" applyAlignment="1">
      <alignment horizontal="center" wrapText="1"/>
    </xf>
    <xf numFmtId="165" fontId="10" fillId="12" borderId="9" xfId="1" applyNumberFormat="1" applyFont="1" applyFill="1" applyBorder="1" applyAlignment="1">
      <alignment vertical="center" wrapText="1"/>
    </xf>
    <xf numFmtId="10" fontId="10" fillId="12" borderId="9" xfId="4" applyNumberFormat="1" applyFont="1" applyFill="1" applyBorder="1" applyAlignment="1">
      <alignment vertical="center" wrapText="1"/>
    </xf>
    <xf numFmtId="165" fontId="10" fillId="12" borderId="4" xfId="1" applyNumberFormat="1" applyFont="1" applyFill="1" applyBorder="1" applyAlignment="1">
      <alignment vertical="center" wrapText="1"/>
    </xf>
    <xf numFmtId="10" fontId="7" fillId="10" borderId="8" xfId="4" applyNumberFormat="1" applyFont="1" applyFill="1" applyBorder="1" applyAlignment="1">
      <alignment horizontal="center"/>
    </xf>
    <xf numFmtId="165" fontId="7" fillId="10" borderId="1" xfId="1" applyNumberFormat="1" applyFont="1" applyFill="1" applyBorder="1" applyAlignment="1">
      <alignment horizontal="left" wrapText="1"/>
    </xf>
    <xf numFmtId="10" fontId="7" fillId="10" borderId="22" xfId="4" applyNumberFormat="1" applyFont="1" applyFill="1" applyBorder="1" applyAlignment="1">
      <alignment horizontal="center"/>
    </xf>
    <xf numFmtId="165" fontId="7" fillId="10" borderId="10" xfId="1" applyNumberFormat="1" applyFont="1" applyFill="1" applyBorder="1" applyAlignment="1">
      <alignment horizontal="left" wrapText="1"/>
    </xf>
    <xf numFmtId="165" fontId="7" fillId="10" borderId="10" xfId="1" applyNumberFormat="1" applyFont="1" applyFill="1" applyBorder="1" applyAlignment="1">
      <alignment horizontal="center"/>
    </xf>
    <xf numFmtId="10" fontId="7" fillId="3" borderId="22" xfId="4" applyNumberFormat="1" applyFont="1" applyFill="1" applyBorder="1" applyAlignment="1">
      <alignment horizontal="center" wrapText="1"/>
    </xf>
    <xf numFmtId="43" fontId="41" fillId="10" borderId="0" xfId="0" applyNumberFormat="1" applyFont="1" applyFill="1" applyAlignment="1">
      <alignment horizontal="center"/>
    </xf>
    <xf numFmtId="0" fontId="42" fillId="10" borderId="0" xfId="0" applyFont="1" applyFill="1"/>
    <xf numFmtId="164" fontId="7" fillId="10" borderId="1" xfId="2" applyNumberFormat="1" applyFont="1" applyFill="1" applyBorder="1" applyAlignment="1">
      <alignment horizontal="center" wrapText="1"/>
    </xf>
    <xf numFmtId="164" fontId="2" fillId="10" borderId="1" xfId="2" applyNumberFormat="1" applyFont="1" applyFill="1" applyBorder="1" applyAlignment="1">
      <alignment horizontal="center" wrapText="1"/>
    </xf>
    <xf numFmtId="164" fontId="3" fillId="6" borderId="1" xfId="2" applyNumberFormat="1" applyFont="1" applyFill="1" applyBorder="1" applyAlignment="1">
      <alignment horizontal="center"/>
    </xf>
    <xf numFmtId="164" fontId="2" fillId="3" borderId="1" xfId="2" applyNumberFormat="1" applyFont="1" applyFill="1" applyBorder="1" applyAlignment="1">
      <alignment horizontal="center" wrapText="1"/>
    </xf>
    <xf numFmtId="164" fontId="7" fillId="3" borderId="1" xfId="2" applyNumberFormat="1" applyFont="1" applyFill="1" applyBorder="1" applyAlignment="1">
      <alignment horizontal="center" wrapText="1"/>
    </xf>
    <xf numFmtId="164" fontId="2" fillId="10" borderId="1" xfId="2" applyNumberFormat="1" applyFont="1" applyFill="1" applyBorder="1" applyAlignment="1">
      <alignment horizontal="center"/>
    </xf>
    <xf numFmtId="164" fontId="30" fillId="10" borderId="1" xfId="2" applyNumberFormat="1" applyFont="1" applyFill="1" applyBorder="1" applyAlignment="1">
      <alignment horizontal="left" wrapText="1"/>
    </xf>
    <xf numFmtId="164" fontId="40" fillId="10" borderId="1" xfId="2" applyNumberFormat="1" applyFont="1" applyFill="1" applyBorder="1" applyAlignment="1">
      <alignment horizontal="left" wrapText="1"/>
    </xf>
    <xf numFmtId="164" fontId="32" fillId="6" borderId="1" xfId="2" applyNumberFormat="1" applyFont="1" applyFill="1" applyBorder="1" applyAlignment="1">
      <alignment horizontal="center"/>
    </xf>
    <xf numFmtId="164" fontId="3" fillId="12" borderId="9" xfId="2" applyNumberFormat="1" applyFont="1" applyFill="1" applyBorder="1" applyAlignment="1">
      <alignment vertical="center" wrapText="1"/>
    </xf>
    <xf numFmtId="164" fontId="10" fillId="6" borderId="1" xfId="2" applyNumberFormat="1" applyFont="1" applyFill="1" applyBorder="1" applyAlignment="1">
      <alignment horizontal="center"/>
    </xf>
    <xf numFmtId="44" fontId="10" fillId="10" borderId="1" xfId="2" applyFont="1" applyFill="1" applyBorder="1" applyAlignment="1">
      <alignment vertical="center"/>
    </xf>
    <xf numFmtId="164" fontId="7" fillId="10" borderId="21" xfId="2" applyNumberFormat="1" applyFont="1" applyFill="1" applyBorder="1" applyAlignment="1">
      <alignment horizontal="center" wrapText="1"/>
    </xf>
    <xf numFmtId="10" fontId="7" fillId="10" borderId="22" xfId="4" applyNumberFormat="1" applyFont="1" applyFill="1" applyBorder="1" applyAlignment="1">
      <alignment horizontal="center" wrapText="1"/>
    </xf>
    <xf numFmtId="44" fontId="7" fillId="10" borderId="21" xfId="2" applyFont="1" applyFill="1" applyBorder="1" applyAlignment="1">
      <alignment horizontal="center"/>
    </xf>
    <xf numFmtId="44" fontId="7" fillId="10" borderId="1" xfId="2" applyFont="1" applyFill="1" applyBorder="1" applyAlignment="1">
      <alignment horizontal="center"/>
    </xf>
    <xf numFmtId="164" fontId="7" fillId="10" borderId="21" xfId="2" applyNumberFormat="1" applyFont="1" applyFill="1" applyBorder="1" applyAlignment="1">
      <alignment horizontal="center"/>
    </xf>
    <xf numFmtId="164" fontId="7" fillId="10" borderId="1" xfId="2" applyNumberFormat="1" applyFont="1" applyFill="1" applyBorder="1" applyAlignment="1">
      <alignment horizontal="center"/>
    </xf>
    <xf numFmtId="164" fontId="10" fillId="6" borderId="21" xfId="2" applyNumberFormat="1" applyFont="1" applyFill="1" applyBorder="1" applyAlignment="1">
      <alignment horizontal="left"/>
    </xf>
    <xf numFmtId="10" fontId="10" fillId="6" borderId="22" xfId="4" applyNumberFormat="1" applyFont="1" applyFill="1" applyBorder="1" applyAlignment="1">
      <alignment horizontal="center"/>
    </xf>
    <xf numFmtId="165" fontId="7" fillId="3" borderId="1" xfId="1" applyNumberFormat="1" applyFont="1" applyFill="1" applyBorder="1" applyAlignment="1">
      <alignment horizontal="center"/>
    </xf>
    <xf numFmtId="164" fontId="7" fillId="3" borderId="21" xfId="2" applyNumberFormat="1" applyFont="1" applyFill="1" applyBorder="1" applyAlignment="1">
      <alignment horizontal="right" wrapText="1"/>
    </xf>
    <xf numFmtId="164" fontId="7" fillId="3" borderId="1" xfId="2" applyNumberFormat="1" applyFont="1" applyFill="1" applyBorder="1" applyAlignment="1">
      <alignment horizontal="center"/>
    </xf>
    <xf numFmtId="164" fontId="7" fillId="3" borderId="21" xfId="2" applyNumberFormat="1" applyFont="1" applyFill="1" applyBorder="1" applyAlignment="1">
      <alignment horizontal="center" wrapText="1"/>
    </xf>
    <xf numFmtId="44" fontId="10" fillId="12" borderId="28" xfId="2" applyFont="1" applyFill="1" applyBorder="1" applyAlignment="1">
      <alignment vertical="center" wrapText="1"/>
    </xf>
    <xf numFmtId="10" fontId="10" fillId="12" borderId="20" xfId="4" applyNumberFormat="1" applyFont="1" applyFill="1" applyBorder="1" applyAlignment="1">
      <alignment vertical="center" wrapText="1"/>
    </xf>
    <xf numFmtId="164" fontId="7" fillId="0" borderId="21" xfId="2" applyNumberFormat="1" applyFont="1" applyFill="1" applyBorder="1" applyAlignment="1">
      <alignment horizontal="center"/>
    </xf>
    <xf numFmtId="164" fontId="10" fillId="12" borderId="28" xfId="2" applyNumberFormat="1" applyFont="1" applyFill="1" applyBorder="1" applyAlignment="1">
      <alignment vertical="center" wrapText="1"/>
    </xf>
    <xf numFmtId="164" fontId="10" fillId="12" borderId="9" xfId="2" applyNumberFormat="1" applyFont="1" applyFill="1" applyBorder="1" applyAlignment="1">
      <alignment vertical="center" wrapText="1"/>
    </xf>
    <xf numFmtId="164" fontId="7" fillId="10" borderId="19" xfId="2" applyNumberFormat="1" applyFont="1" applyFill="1" applyBorder="1" applyAlignment="1">
      <alignment horizontal="left" wrapText="1"/>
    </xf>
    <xf numFmtId="164" fontId="7" fillId="10" borderId="1" xfId="2" applyNumberFormat="1" applyFont="1" applyFill="1" applyBorder="1" applyAlignment="1">
      <alignment horizontal="left" wrapText="1"/>
    </xf>
    <xf numFmtId="164" fontId="7" fillId="10" borderId="9" xfId="2" applyNumberFormat="1" applyFont="1" applyFill="1" applyBorder="1" applyAlignment="1">
      <alignment horizontal="left" wrapText="1"/>
    </xf>
    <xf numFmtId="164" fontId="7" fillId="10" borderId="10" xfId="2" applyNumberFormat="1" applyFont="1" applyFill="1" applyBorder="1" applyAlignment="1">
      <alignment horizontal="left" wrapText="1"/>
    </xf>
    <xf numFmtId="165" fontId="43" fillId="6" borderId="1" xfId="1" applyNumberFormat="1" applyFont="1" applyFill="1" applyBorder="1" applyAlignment="1">
      <alignment horizontal="center"/>
    </xf>
    <xf numFmtId="165" fontId="2" fillId="10" borderId="1" xfId="1" applyNumberFormat="1" applyFont="1" applyFill="1" applyBorder="1" applyAlignment="1">
      <alignment horizont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3" fillId="12" borderId="51" xfId="0" applyFont="1" applyFill="1" applyBorder="1" applyAlignment="1">
      <alignment vertical="center" wrapText="1"/>
    </xf>
    <xf numFmtId="0" fontId="3" fillId="12" borderId="52" xfId="0" applyFont="1" applyFill="1" applyBorder="1" applyAlignment="1">
      <alignment vertical="center" wrapText="1"/>
    </xf>
    <xf numFmtId="165" fontId="7" fillId="10" borderId="53" xfId="1" applyNumberFormat="1" applyFont="1" applyFill="1" applyBorder="1" applyAlignment="1">
      <alignment horizontal="center" vertical="center" wrapText="1"/>
    </xf>
    <xf numFmtId="10" fontId="7" fillId="10" borderId="54" xfId="4" applyNumberFormat="1" applyFont="1" applyFill="1" applyBorder="1" applyAlignment="1">
      <alignment horizontal="center" wrapText="1"/>
    </xf>
    <xf numFmtId="165" fontId="7" fillId="0" borderId="53" xfId="1" applyNumberFormat="1" applyFont="1" applyFill="1" applyBorder="1" applyAlignment="1">
      <alignment horizontal="center" vertical="center" wrapText="1"/>
    </xf>
    <xf numFmtId="165" fontId="7" fillId="10" borderId="53" xfId="1" applyNumberFormat="1" applyFont="1" applyFill="1" applyBorder="1" applyAlignment="1">
      <alignment horizontal="left" wrapText="1"/>
    </xf>
    <xf numFmtId="165" fontId="10" fillId="6" borderId="53" xfId="1" applyNumberFormat="1" applyFont="1" applyFill="1" applyBorder="1" applyAlignment="1">
      <alignment horizontal="left"/>
    </xf>
    <xf numFmtId="10" fontId="10" fillId="6" borderId="54" xfId="4" applyNumberFormat="1" applyFont="1" applyFill="1" applyBorder="1" applyAlignment="1">
      <alignment horizontal="center"/>
    </xf>
    <xf numFmtId="165" fontId="7" fillId="3" borderId="53" xfId="1" applyNumberFormat="1" applyFont="1" applyFill="1" applyBorder="1" applyAlignment="1">
      <alignment horizontal="center" wrapText="1"/>
    </xf>
    <xf numFmtId="10" fontId="7" fillId="3" borderId="54" xfId="4" applyNumberFormat="1" applyFont="1" applyFill="1" applyBorder="1" applyAlignment="1">
      <alignment horizontal="center" wrapText="1"/>
    </xf>
    <xf numFmtId="165" fontId="10" fillId="12" borderId="51" xfId="1" applyNumberFormat="1" applyFont="1" applyFill="1" applyBorder="1" applyAlignment="1">
      <alignment vertical="center" wrapText="1"/>
    </xf>
    <xf numFmtId="10" fontId="10" fillId="12" borderId="52" xfId="4" applyNumberFormat="1" applyFont="1" applyFill="1" applyBorder="1" applyAlignment="1">
      <alignment vertical="center" wrapText="1"/>
    </xf>
    <xf numFmtId="10" fontId="7" fillId="10" borderId="54" xfId="4" applyNumberFormat="1" applyFont="1" applyFill="1" applyBorder="1" applyAlignment="1">
      <alignment horizontal="center"/>
    </xf>
    <xf numFmtId="165" fontId="7" fillId="10" borderId="51" xfId="1" applyNumberFormat="1" applyFont="1" applyFill="1" applyBorder="1" applyAlignment="1">
      <alignment horizontal="left" wrapText="1"/>
    </xf>
    <xf numFmtId="165" fontId="7" fillId="10" borderId="53" xfId="1" applyNumberFormat="1" applyFont="1" applyFill="1" applyBorder="1" applyAlignment="1">
      <alignment horizontal="left"/>
    </xf>
    <xf numFmtId="165" fontId="43" fillId="6" borderId="53" xfId="1" applyNumberFormat="1" applyFont="1" applyFill="1" applyBorder="1" applyAlignment="1">
      <alignment horizontal="center"/>
    </xf>
    <xf numFmtId="10" fontId="4" fillId="6" borderId="54" xfId="4" applyNumberFormat="1" applyFont="1" applyFill="1" applyBorder="1" applyAlignment="1">
      <alignment horizontal="center"/>
    </xf>
    <xf numFmtId="165" fontId="4" fillId="5" borderId="55" xfId="1" applyNumberFormat="1" applyFont="1" applyFill="1" applyBorder="1" applyAlignment="1">
      <alignment horizontal="center" vertical="center"/>
    </xf>
    <xf numFmtId="165" fontId="4" fillId="5" borderId="56" xfId="1" applyNumberFormat="1" applyFont="1" applyFill="1" applyBorder="1" applyAlignment="1">
      <alignment horizontal="center" vertical="center"/>
    </xf>
    <xf numFmtId="10" fontId="4" fillId="5" borderId="57" xfId="4" applyNumberFormat="1" applyFont="1" applyFill="1" applyBorder="1" applyAlignment="1">
      <alignment horizontal="center" vertical="center"/>
    </xf>
    <xf numFmtId="0" fontId="17" fillId="2" borderId="58" xfId="0" applyFont="1" applyFill="1" applyBorder="1" applyAlignment="1">
      <alignment horizontal="center" vertical="center" wrapText="1"/>
    </xf>
    <xf numFmtId="0" fontId="2" fillId="10" borderId="19" xfId="0" applyFont="1" applyFill="1" applyBorder="1" applyAlignment="1">
      <alignment horizontal="left" wrapText="1"/>
    </xf>
    <xf numFmtId="0" fontId="3" fillId="6" borderId="19" xfId="0" applyFont="1" applyFill="1" applyBorder="1" applyAlignment="1">
      <alignment horizontal="left" wrapText="1"/>
    </xf>
    <xf numFmtId="0" fontId="20" fillId="3" borderId="19" xfId="0" applyFont="1" applyFill="1" applyBorder="1" applyAlignment="1">
      <alignment horizontal="right" wrapText="1"/>
    </xf>
    <xf numFmtId="0" fontId="3" fillId="4" borderId="19" xfId="0" applyFont="1" applyFill="1" applyBorder="1" applyAlignment="1">
      <alignment vertical="center" wrapText="1"/>
    </xf>
    <xf numFmtId="167" fontId="30" fillId="10" borderId="19" xfId="1" applyNumberFormat="1" applyFont="1" applyFill="1" applyBorder="1" applyAlignment="1">
      <alignment horizontal="left" wrapText="1"/>
    </xf>
    <xf numFmtId="167" fontId="30" fillId="0" borderId="19" xfId="1" applyNumberFormat="1" applyFont="1" applyFill="1" applyBorder="1" applyAlignment="1">
      <alignment horizontal="left" wrapText="1"/>
    </xf>
    <xf numFmtId="0" fontId="3" fillId="6" borderId="19" xfId="0" applyFont="1" applyFill="1" applyBorder="1" applyAlignment="1">
      <alignment horizontal="left" vertical="center" wrapText="1"/>
    </xf>
    <xf numFmtId="0" fontId="3" fillId="5" borderId="59" xfId="0" applyFont="1" applyFill="1" applyBorder="1" applyAlignment="1">
      <alignment horizontal="left" vertical="center" wrapText="1"/>
    </xf>
    <xf numFmtId="0" fontId="17" fillId="2" borderId="10" xfId="0" applyFont="1" applyFill="1" applyBorder="1" applyAlignment="1">
      <alignment horizontal="center" vertical="center" wrapText="1"/>
    </xf>
    <xf numFmtId="165" fontId="7" fillId="10" borderId="10" xfId="1" applyNumberFormat="1" applyFont="1" applyFill="1" applyBorder="1" applyAlignment="1">
      <alignment horizontal="center" wrapText="1"/>
    </xf>
    <xf numFmtId="165" fontId="7" fillId="0" borderId="10" xfId="1" applyNumberFormat="1" applyFont="1" applyFill="1" applyBorder="1" applyAlignment="1">
      <alignment horizontal="center" wrapText="1"/>
    </xf>
    <xf numFmtId="165" fontId="10" fillId="6" borderId="10" xfId="1" applyNumberFormat="1" applyFont="1" applyFill="1" applyBorder="1" applyAlignment="1">
      <alignment horizontal="left"/>
    </xf>
    <xf numFmtId="165" fontId="7" fillId="3" borderId="10" xfId="1" applyNumberFormat="1" applyFont="1" applyFill="1" applyBorder="1" applyAlignment="1">
      <alignment horizontal="center" wrapText="1"/>
    </xf>
    <xf numFmtId="165" fontId="7" fillId="10" borderId="9" xfId="1" applyNumberFormat="1" applyFont="1" applyFill="1" applyBorder="1" applyAlignment="1">
      <alignment horizontal="left" wrapText="1"/>
    </xf>
    <xf numFmtId="165" fontId="10" fillId="6" borderId="10" xfId="1" applyNumberFormat="1" applyFont="1" applyFill="1" applyBorder="1" applyAlignment="1">
      <alignment horizontal="center"/>
    </xf>
    <xf numFmtId="165" fontId="4" fillId="5" borderId="27" xfId="1" applyNumberFormat="1" applyFont="1" applyFill="1" applyBorder="1" applyAlignment="1">
      <alignment horizontal="center" vertical="center"/>
    </xf>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46" xfId="0" applyFont="1" applyFill="1" applyBorder="1" applyAlignment="1">
      <alignment horizontal="center" vertical="center" wrapText="1"/>
    </xf>
    <xf numFmtId="0" fontId="7" fillId="10" borderId="47" xfId="0" applyFont="1" applyFill="1" applyBorder="1" applyAlignment="1">
      <alignment horizontal="center" vertical="center" wrapText="1"/>
    </xf>
    <xf numFmtId="0" fontId="7" fillId="10" borderId="48"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7" fillId="10" borderId="8" xfId="0" applyFont="1" applyFill="1" applyBorder="1" applyAlignment="1">
      <alignment horizontal="right" vertical="center"/>
    </xf>
    <xf numFmtId="0" fontId="27" fillId="10" borderId="10" xfId="0" applyFont="1" applyFill="1" applyBorder="1" applyAlignment="1">
      <alignment horizontal="right" vertical="center"/>
    </xf>
    <xf numFmtId="0" fontId="25" fillId="10" borderId="8" xfId="0" applyFont="1" applyFill="1" applyBorder="1" applyAlignment="1">
      <alignment horizontal="left" vertical="center"/>
    </xf>
    <xf numFmtId="0" fontId="25" fillId="10" borderId="10" xfId="0" applyFont="1" applyFill="1" applyBorder="1" applyAlignment="1">
      <alignment horizontal="left" vertical="center"/>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8" borderId="8" xfId="0" applyFont="1" applyFill="1" applyBorder="1" applyAlignment="1">
      <alignment horizontal="left" vertical="center"/>
    </xf>
    <xf numFmtId="0" fontId="5" fillId="8"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4.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96"/>
  <sheetViews>
    <sheetView topLeftCell="A18" zoomScale="85" zoomScaleNormal="85" workbookViewId="0">
      <pane xSplit="2" ySplit="4" topLeftCell="C22" activePane="bottomRight" state="frozen"/>
      <selection pane="bottomRight" activeCell="C22" sqref="C22"/>
      <selection pane="bottomLeft" activeCell="A22" sqref="A22"/>
      <selection pane="topRight" activeCell="C18" sqref="C18"/>
    </sheetView>
  </sheetViews>
  <sheetFormatPr defaultColWidth="9.140625" defaultRowHeight="15"/>
  <cols>
    <col min="1" max="1" width="2.85546875" style="49" customWidth="1"/>
    <col min="2" max="2" width="64.7109375" style="49" customWidth="1"/>
    <col min="3" max="12" width="17.7109375" style="49" customWidth="1"/>
    <col min="13" max="24" width="19.28515625" style="49" customWidth="1"/>
    <col min="25" max="16384" width="9.140625" style="49"/>
  </cols>
  <sheetData>
    <row r="1" spans="2:24">
      <c r="B1" s="50" t="s">
        <v>0</v>
      </c>
      <c r="C1" s="50"/>
    </row>
    <row r="2" spans="2:24">
      <c r="B2" s="50" t="s">
        <v>1</v>
      </c>
      <c r="C2" s="50"/>
    </row>
    <row r="3" spans="2:24">
      <c r="B3" s="50" t="s">
        <v>2</v>
      </c>
      <c r="C3" s="50"/>
    </row>
    <row r="4" spans="2:24">
      <c r="B4" s="50"/>
      <c r="C4" s="50"/>
    </row>
    <row r="5" spans="2:24" ht="42" customHeight="1">
      <c r="B5" s="322" t="s">
        <v>3</v>
      </c>
      <c r="C5" s="323"/>
      <c r="D5" s="323"/>
      <c r="E5" s="323"/>
      <c r="F5" s="323"/>
      <c r="G5" s="323"/>
      <c r="H5" s="323"/>
      <c r="I5" s="323"/>
      <c r="J5" s="323"/>
      <c r="K5" s="323"/>
      <c r="L5" s="323"/>
      <c r="M5" s="323"/>
      <c r="N5" s="323"/>
      <c r="O5" s="323"/>
      <c r="P5" s="323"/>
      <c r="Q5" s="323"/>
      <c r="R5" s="323"/>
      <c r="S5" s="323"/>
      <c r="T5" s="323"/>
      <c r="U5" s="323"/>
      <c r="V5" s="323"/>
      <c r="W5" s="323"/>
      <c r="X5" s="324"/>
    </row>
    <row r="6" spans="2:24" ht="23.1" customHeight="1">
      <c r="B6" s="325"/>
      <c r="C6" s="326"/>
      <c r="D6" s="326"/>
      <c r="E6" s="326"/>
      <c r="F6" s="326"/>
      <c r="G6" s="326"/>
      <c r="H6" s="326"/>
      <c r="I6" s="326"/>
      <c r="J6" s="326"/>
      <c r="K6" s="326"/>
      <c r="L6" s="326"/>
      <c r="M6" s="326"/>
      <c r="N6" s="326"/>
      <c r="O6" s="326"/>
      <c r="P6" s="326"/>
      <c r="Q6" s="326"/>
      <c r="R6" s="326"/>
      <c r="S6" s="326"/>
      <c r="T6" s="326"/>
      <c r="U6" s="326"/>
      <c r="V6" s="326"/>
      <c r="W6" s="326"/>
      <c r="X6" s="327"/>
    </row>
    <row r="7" spans="2:24">
      <c r="B7" s="89"/>
      <c r="C7" s="50"/>
    </row>
    <row r="8" spans="2:24" ht="14.45" customHeight="1">
      <c r="B8" s="328" t="s">
        <v>4</v>
      </c>
      <c r="C8" s="328"/>
      <c r="D8" s="328"/>
      <c r="E8" s="328"/>
      <c r="F8" s="328"/>
      <c r="G8" s="328"/>
      <c r="H8" s="328"/>
      <c r="I8" s="328"/>
      <c r="J8" s="328"/>
      <c r="K8" s="328"/>
      <c r="L8" s="328"/>
      <c r="M8" s="328"/>
      <c r="N8" s="328"/>
      <c r="O8" s="328"/>
      <c r="P8" s="328"/>
      <c r="Q8" s="328"/>
      <c r="R8" s="328"/>
      <c r="S8" s="328"/>
      <c r="T8" s="328"/>
      <c r="U8" s="328"/>
      <c r="V8" s="328"/>
      <c r="W8" s="328"/>
      <c r="X8" s="328"/>
    </row>
    <row r="9" spans="2:24" ht="12.6" customHeight="1">
      <c r="B9" s="328"/>
      <c r="C9" s="328"/>
      <c r="D9" s="328"/>
      <c r="E9" s="328"/>
      <c r="F9" s="328"/>
      <c r="G9" s="328"/>
      <c r="H9" s="328"/>
      <c r="I9" s="328"/>
      <c r="J9" s="328"/>
      <c r="K9" s="328"/>
      <c r="L9" s="328"/>
      <c r="M9" s="328"/>
      <c r="N9" s="328"/>
      <c r="O9" s="328"/>
      <c r="P9" s="328"/>
      <c r="Q9" s="328"/>
      <c r="R9" s="328"/>
      <c r="S9" s="328"/>
      <c r="T9" s="328"/>
      <c r="U9" s="328"/>
      <c r="V9" s="328"/>
      <c r="W9" s="328"/>
      <c r="X9" s="328"/>
    </row>
    <row r="10" spans="2:24" ht="15" customHeight="1">
      <c r="B10" s="328"/>
      <c r="C10" s="328"/>
      <c r="D10" s="328"/>
      <c r="E10" s="328"/>
      <c r="F10" s="328"/>
      <c r="G10" s="328"/>
      <c r="H10" s="328"/>
      <c r="I10" s="328"/>
      <c r="J10" s="328"/>
      <c r="K10" s="328"/>
      <c r="L10" s="328"/>
      <c r="M10" s="328"/>
      <c r="N10" s="328"/>
      <c r="O10" s="328"/>
      <c r="P10" s="328"/>
      <c r="Q10" s="328"/>
      <c r="R10" s="328"/>
      <c r="S10" s="328"/>
      <c r="T10" s="328"/>
      <c r="U10" s="328"/>
      <c r="V10" s="328"/>
      <c r="W10" s="328"/>
      <c r="X10" s="328"/>
    </row>
    <row r="11" spans="2:24" ht="15" customHeight="1">
      <c r="B11" s="328"/>
      <c r="C11" s="328"/>
      <c r="D11" s="328"/>
      <c r="E11" s="328"/>
      <c r="F11" s="328"/>
      <c r="G11" s="328"/>
      <c r="H11" s="328"/>
      <c r="I11" s="328"/>
      <c r="J11" s="328"/>
      <c r="K11" s="328"/>
      <c r="L11" s="328"/>
      <c r="M11" s="328"/>
      <c r="N11" s="328"/>
      <c r="O11" s="328"/>
      <c r="P11" s="328"/>
      <c r="Q11" s="328"/>
      <c r="R11" s="328"/>
      <c r="S11" s="328"/>
      <c r="T11" s="328"/>
      <c r="U11" s="328"/>
      <c r="V11" s="328"/>
      <c r="W11" s="328"/>
      <c r="X11" s="328"/>
    </row>
    <row r="12" spans="2:24" ht="15" customHeight="1">
      <c r="B12" s="328"/>
      <c r="C12" s="328"/>
      <c r="D12" s="328"/>
      <c r="E12" s="328"/>
      <c r="F12" s="328"/>
      <c r="G12" s="328"/>
      <c r="H12" s="328"/>
      <c r="I12" s="328"/>
      <c r="J12" s="328"/>
      <c r="K12" s="328"/>
      <c r="L12" s="328"/>
      <c r="M12" s="328"/>
      <c r="N12" s="328"/>
      <c r="O12" s="328"/>
      <c r="P12" s="328"/>
      <c r="Q12" s="328"/>
      <c r="R12" s="328"/>
      <c r="S12" s="328"/>
      <c r="T12" s="328"/>
      <c r="U12" s="328"/>
      <c r="V12" s="328"/>
      <c r="W12" s="328"/>
      <c r="X12" s="328"/>
    </row>
    <row r="13" spans="2:24" ht="15" customHeight="1">
      <c r="B13" s="328"/>
      <c r="C13" s="328"/>
      <c r="D13" s="328"/>
      <c r="E13" s="328"/>
      <c r="F13" s="328"/>
      <c r="G13" s="328"/>
      <c r="H13" s="328"/>
      <c r="I13" s="328"/>
      <c r="J13" s="328"/>
      <c r="K13" s="328"/>
      <c r="L13" s="328"/>
      <c r="M13" s="328"/>
      <c r="N13" s="328"/>
      <c r="O13" s="328"/>
      <c r="P13" s="328"/>
      <c r="Q13" s="328"/>
      <c r="R13" s="328"/>
      <c r="S13" s="328"/>
      <c r="T13" s="328"/>
      <c r="U13" s="328"/>
      <c r="V13" s="328"/>
      <c r="W13" s="328"/>
      <c r="X13" s="328"/>
    </row>
    <row r="14" spans="2:24" ht="17.45" customHeight="1">
      <c r="B14" s="328"/>
      <c r="C14" s="328"/>
      <c r="D14" s="328"/>
      <c r="E14" s="328"/>
      <c r="F14" s="328"/>
      <c r="G14" s="328"/>
      <c r="H14" s="328"/>
      <c r="I14" s="328"/>
      <c r="J14" s="328"/>
      <c r="K14" s="328"/>
      <c r="L14" s="328"/>
      <c r="M14" s="328"/>
      <c r="N14" s="328"/>
      <c r="O14" s="328"/>
      <c r="P14" s="328"/>
      <c r="Q14" s="328"/>
      <c r="R14" s="328"/>
      <c r="S14" s="328"/>
      <c r="T14" s="328"/>
      <c r="U14" s="328"/>
      <c r="V14" s="328"/>
      <c r="W14" s="328"/>
      <c r="X14" s="328"/>
    </row>
    <row r="15" spans="2:24" ht="17.45" customHeight="1">
      <c r="B15" s="328"/>
      <c r="C15" s="328"/>
      <c r="D15" s="328"/>
      <c r="E15" s="328"/>
      <c r="F15" s="328"/>
      <c r="G15" s="328"/>
      <c r="H15" s="328"/>
      <c r="I15" s="328"/>
      <c r="J15" s="328"/>
      <c r="K15" s="328"/>
      <c r="L15" s="328"/>
      <c r="M15" s="328"/>
      <c r="N15" s="328"/>
      <c r="O15" s="328"/>
      <c r="P15" s="328"/>
      <c r="Q15" s="328"/>
      <c r="R15" s="328"/>
      <c r="S15" s="328"/>
      <c r="T15" s="328"/>
      <c r="U15" s="328"/>
      <c r="V15" s="328"/>
      <c r="W15" s="328"/>
      <c r="X15" s="328"/>
    </row>
    <row r="16" spans="2:24" ht="44.1" customHeight="1">
      <c r="B16" s="328"/>
      <c r="C16" s="328"/>
      <c r="D16" s="328"/>
      <c r="E16" s="328"/>
      <c r="F16" s="328"/>
      <c r="G16" s="328"/>
      <c r="H16" s="328"/>
      <c r="I16" s="328"/>
      <c r="J16" s="328"/>
      <c r="K16" s="328"/>
      <c r="L16" s="328"/>
      <c r="M16" s="328"/>
      <c r="N16" s="328"/>
      <c r="O16" s="328"/>
      <c r="P16" s="328"/>
      <c r="Q16" s="328"/>
      <c r="R16" s="328"/>
      <c r="S16" s="328"/>
      <c r="T16" s="328"/>
      <c r="U16" s="328"/>
      <c r="V16" s="328"/>
      <c r="W16" s="328"/>
      <c r="X16" s="328"/>
    </row>
    <row r="17" spans="2:24" ht="17.45" customHeight="1">
      <c r="B17" s="63"/>
      <c r="C17" s="63"/>
      <c r="D17" s="63"/>
      <c r="E17" s="63"/>
      <c r="F17" s="63"/>
      <c r="G17" s="63"/>
      <c r="H17" s="63"/>
      <c r="I17" s="63"/>
      <c r="J17" s="63"/>
      <c r="K17" s="63"/>
      <c r="L17" s="63"/>
      <c r="M17" s="63"/>
      <c r="N17" s="63"/>
      <c r="O17" s="63"/>
      <c r="P17" s="63"/>
      <c r="Q17" s="63"/>
      <c r="R17" s="63"/>
      <c r="S17" s="63"/>
      <c r="T17" s="63"/>
      <c r="U17" s="63"/>
      <c r="V17" s="63"/>
      <c r="W17" s="63"/>
      <c r="X17" s="63"/>
    </row>
    <row r="18" spans="2:24" ht="17.45" customHeight="1">
      <c r="B18" s="90" t="s">
        <v>5</v>
      </c>
      <c r="C18" s="63"/>
      <c r="D18" s="63"/>
      <c r="E18" s="63"/>
      <c r="F18" s="63"/>
      <c r="G18" s="63"/>
      <c r="H18" s="63"/>
      <c r="I18" s="63"/>
      <c r="J18" s="63"/>
      <c r="K18" s="63"/>
      <c r="L18" s="63"/>
      <c r="M18" s="63"/>
      <c r="N18" s="63"/>
      <c r="O18" s="63"/>
      <c r="P18" s="63"/>
      <c r="Q18" s="63"/>
      <c r="R18" s="63"/>
      <c r="S18" s="63"/>
      <c r="T18" s="63"/>
      <c r="U18" s="63"/>
      <c r="V18" s="63"/>
      <c r="W18" s="63"/>
      <c r="X18" s="63"/>
    </row>
    <row r="19" spans="2:24" ht="17.45" customHeight="1" thickBot="1">
      <c r="B19" s="90"/>
      <c r="C19" s="63"/>
      <c r="D19" s="63"/>
      <c r="E19" s="63"/>
      <c r="F19" s="63"/>
      <c r="G19" s="63"/>
      <c r="H19" s="63"/>
      <c r="I19" s="63"/>
      <c r="J19" s="63"/>
      <c r="K19" s="63"/>
      <c r="L19" s="63"/>
      <c r="M19" s="63"/>
      <c r="N19" s="63"/>
      <c r="O19" s="63"/>
      <c r="P19" s="63"/>
      <c r="Q19" s="63"/>
      <c r="R19" s="63"/>
      <c r="S19" s="63"/>
      <c r="T19" s="63"/>
      <c r="U19" s="63"/>
      <c r="V19" s="63"/>
      <c r="W19" s="63"/>
      <c r="X19" s="63"/>
    </row>
    <row r="20" spans="2:24" ht="16.350000000000001" customHeight="1" thickBot="1">
      <c r="B20" s="63"/>
      <c r="C20" s="341" t="s">
        <v>6</v>
      </c>
      <c r="D20" s="342"/>
      <c r="E20" s="342"/>
      <c r="F20" s="342"/>
      <c r="G20" s="343"/>
      <c r="H20" s="344" t="s">
        <v>7</v>
      </c>
      <c r="I20" s="344"/>
      <c r="J20" s="344"/>
      <c r="K20" s="344"/>
      <c r="L20" s="345"/>
      <c r="M20" s="346" t="s">
        <v>8</v>
      </c>
      <c r="N20" s="344"/>
      <c r="O20" s="344"/>
      <c r="P20" s="344"/>
      <c r="Q20" s="344"/>
      <c r="R20" s="345"/>
      <c r="S20" s="346" t="s">
        <v>9</v>
      </c>
      <c r="T20" s="344"/>
      <c r="U20" s="344"/>
      <c r="V20" s="344"/>
      <c r="W20" s="344"/>
      <c r="X20" s="345"/>
    </row>
    <row r="21" spans="2:24" s="91" customFormat="1" ht="63">
      <c r="B21" s="304" t="s">
        <v>10</v>
      </c>
      <c r="C21" s="282" t="s">
        <v>11</v>
      </c>
      <c r="D21" s="10" t="s">
        <v>12</v>
      </c>
      <c r="E21" s="10" t="s">
        <v>13</v>
      </c>
      <c r="F21" s="10" t="s">
        <v>14</v>
      </c>
      <c r="G21" s="283" t="s">
        <v>15</v>
      </c>
      <c r="H21" s="313" t="s">
        <v>11</v>
      </c>
      <c r="I21" s="4" t="s">
        <v>12</v>
      </c>
      <c r="J21" s="4" t="s">
        <v>13</v>
      </c>
      <c r="K21" s="4" t="s">
        <v>14</v>
      </c>
      <c r="L21" s="207" t="s">
        <v>15</v>
      </c>
      <c r="M21" s="208" t="s">
        <v>16</v>
      </c>
      <c r="N21" s="209" t="s">
        <v>17</v>
      </c>
      <c r="O21" s="209" t="s">
        <v>18</v>
      </c>
      <c r="P21" s="209" t="s">
        <v>19</v>
      </c>
      <c r="Q21" s="209" t="s">
        <v>20</v>
      </c>
      <c r="R21" s="194" t="s">
        <v>21</v>
      </c>
      <c r="S21" s="208" t="s">
        <v>16</v>
      </c>
      <c r="T21" s="209" t="s">
        <v>17</v>
      </c>
      <c r="U21" s="209" t="s">
        <v>18</v>
      </c>
      <c r="V21" s="209" t="s">
        <v>19</v>
      </c>
      <c r="W21" s="209" t="s">
        <v>20</v>
      </c>
      <c r="X21" s="194" t="s">
        <v>21</v>
      </c>
    </row>
    <row r="22" spans="2:24" s="92" customFormat="1" ht="15.6" customHeight="1">
      <c r="B22" s="109" t="s">
        <v>22</v>
      </c>
      <c r="C22" s="284"/>
      <c r="D22" s="110"/>
      <c r="E22" s="110"/>
      <c r="F22" s="110"/>
      <c r="G22" s="285"/>
      <c r="H22" s="110"/>
      <c r="I22" s="110"/>
      <c r="J22" s="110"/>
      <c r="K22" s="110"/>
      <c r="L22" s="110"/>
      <c r="M22" s="109"/>
      <c r="N22" s="110"/>
      <c r="O22" s="110"/>
      <c r="P22" s="110"/>
      <c r="Q22" s="110"/>
      <c r="R22" s="111"/>
      <c r="S22" s="109"/>
      <c r="T22" s="110"/>
      <c r="U22" s="110"/>
      <c r="V22" s="110"/>
      <c r="W22" s="110"/>
      <c r="X22" s="111"/>
    </row>
    <row r="23" spans="2:24" s="94" customFormat="1">
      <c r="B23" s="305" t="s">
        <v>23</v>
      </c>
      <c r="C23" s="286">
        <v>2440</v>
      </c>
      <c r="D23" s="157">
        <v>52391</v>
      </c>
      <c r="E23" s="157">
        <v>52391</v>
      </c>
      <c r="F23" s="157">
        <v>34405</v>
      </c>
      <c r="G23" s="287">
        <f>IF(F23=0,"NA",C23/F23)</f>
        <v>7.0919924429588721E-2</v>
      </c>
      <c r="H23" s="314">
        <v>199723</v>
      </c>
      <c r="I23" s="157">
        <v>170619</v>
      </c>
      <c r="J23" s="157">
        <v>174893</v>
      </c>
      <c r="K23" s="157">
        <v>452058</v>
      </c>
      <c r="L23" s="231">
        <f>IF(K23=0,"NA",H23/K23)</f>
        <v>0.44180835202562502</v>
      </c>
      <c r="M23" s="259">
        <f>SUM(N23:O23)</f>
        <v>1580374.27</v>
      </c>
      <c r="N23" s="247">
        <v>450109.23999999993</v>
      </c>
      <c r="O23" s="247">
        <v>1130265.03</v>
      </c>
      <c r="P23" s="247">
        <v>12389132.529999999</v>
      </c>
      <c r="Q23" s="247">
        <v>11215733.123694293</v>
      </c>
      <c r="R23" s="260">
        <f>IF(Q33=0,"NA",(M23/Q23))</f>
        <v>0.14090690751737936</v>
      </c>
      <c r="S23" s="259">
        <f>SUM(T23:U23)</f>
        <v>463097.99</v>
      </c>
      <c r="T23" s="247">
        <v>255632.91999999998</v>
      </c>
      <c r="U23" s="247">
        <v>207465.07</v>
      </c>
      <c r="V23" s="247">
        <v>1287220</v>
      </c>
      <c r="W23" s="248">
        <v>1557837.7673308398</v>
      </c>
      <c r="X23" s="93">
        <f>IF(W23=0,"NA",(S23/W23))</f>
        <v>0.29726971557087134</v>
      </c>
    </row>
    <row r="24" spans="2:24" s="94" customFormat="1">
      <c r="B24" s="305" t="s">
        <v>24</v>
      </c>
      <c r="C24" s="286">
        <v>4057</v>
      </c>
      <c r="D24" s="157">
        <v>27587</v>
      </c>
      <c r="E24" s="157">
        <v>27587</v>
      </c>
      <c r="F24" s="157">
        <v>36811</v>
      </c>
      <c r="G24" s="287">
        <f t="shared" ref="G24:G86" si="0">IF(F24=0,"NA",C24/F24)</f>
        <v>0.11021162152617424</v>
      </c>
      <c r="H24" s="314">
        <v>0</v>
      </c>
      <c r="I24" s="157">
        <v>0</v>
      </c>
      <c r="J24" s="157">
        <v>0</v>
      </c>
      <c r="K24" s="157">
        <v>0</v>
      </c>
      <c r="L24" s="231" t="str">
        <f t="shared" ref="L24:L86" si="1">IF(K24=0,"NA",H24/K24)</f>
        <v>NA</v>
      </c>
      <c r="M24" s="259">
        <f>SUM(N24:O24)</f>
        <v>2174801.33</v>
      </c>
      <c r="N24" s="247">
        <v>754691.78</v>
      </c>
      <c r="O24" s="247">
        <v>1420109.55</v>
      </c>
      <c r="P24" s="247">
        <v>11068212</v>
      </c>
      <c r="Q24" s="247">
        <v>13144139.440518646</v>
      </c>
      <c r="R24" s="260" t="str">
        <f t="shared" ref="R24:R33" si="2">IF(Q34=0,"NA",(M24/Q24))</f>
        <v>NA</v>
      </c>
      <c r="S24" s="259">
        <f t="shared" ref="S24:S85" si="3">SUM(T24:U24)</f>
        <v>0</v>
      </c>
      <c r="T24" s="247">
        <v>0</v>
      </c>
      <c r="U24" s="247">
        <v>0</v>
      </c>
      <c r="V24" s="247">
        <v>0</v>
      </c>
      <c r="W24" s="248">
        <v>0</v>
      </c>
      <c r="X24" s="93" t="str">
        <f t="shared" ref="X24:X33" si="4">IF(W24=0,"NA",(S24/W24))</f>
        <v>NA</v>
      </c>
    </row>
    <row r="25" spans="2:24" s="94" customFormat="1">
      <c r="B25" s="305" t="s">
        <v>25</v>
      </c>
      <c r="C25" s="286">
        <v>537</v>
      </c>
      <c r="D25" s="157">
        <v>1173</v>
      </c>
      <c r="E25" s="157">
        <v>1173</v>
      </c>
      <c r="F25" s="157">
        <v>702</v>
      </c>
      <c r="G25" s="287">
        <f t="shared" si="0"/>
        <v>0.7649572649572649</v>
      </c>
      <c r="H25" s="314">
        <v>12866.034129692833</v>
      </c>
      <c r="I25" s="157">
        <v>94788</v>
      </c>
      <c r="J25" s="157">
        <v>93220</v>
      </c>
      <c r="K25" s="157">
        <v>73182</v>
      </c>
      <c r="L25" s="231">
        <f t="shared" si="1"/>
        <v>0.17580872522878349</v>
      </c>
      <c r="M25" s="259">
        <f t="shared" ref="M25:M33" si="5">SUM(N25:O25)</f>
        <v>218167.87</v>
      </c>
      <c r="N25" s="247">
        <v>167244.34</v>
      </c>
      <c r="O25" s="247">
        <v>50923.53</v>
      </c>
      <c r="P25" s="247">
        <v>348867</v>
      </c>
      <c r="Q25" s="247">
        <v>524118.05107701331</v>
      </c>
      <c r="R25" s="260">
        <f t="shared" si="2"/>
        <v>0.41625711908163732</v>
      </c>
      <c r="S25" s="259">
        <f t="shared" si="3"/>
        <v>176046.25</v>
      </c>
      <c r="T25" s="247">
        <v>77604.63</v>
      </c>
      <c r="U25" s="247">
        <v>98441.62</v>
      </c>
      <c r="V25" s="247">
        <v>328329</v>
      </c>
      <c r="W25" s="248">
        <v>744275.82337035181</v>
      </c>
      <c r="X25" s="93">
        <f t="shared" si="4"/>
        <v>0.23653361357728714</v>
      </c>
    </row>
    <row r="26" spans="2:24" s="94" customFormat="1">
      <c r="B26" s="305" t="s">
        <v>26</v>
      </c>
      <c r="C26" s="286">
        <v>10219</v>
      </c>
      <c r="D26" s="157">
        <v>20418</v>
      </c>
      <c r="E26" s="157">
        <v>20418</v>
      </c>
      <c r="F26" s="157">
        <v>21777</v>
      </c>
      <c r="G26" s="287">
        <f t="shared" si="0"/>
        <v>0.4692565550810488</v>
      </c>
      <c r="H26" s="314">
        <v>0</v>
      </c>
      <c r="I26" s="157">
        <v>0</v>
      </c>
      <c r="J26" s="157">
        <v>0</v>
      </c>
      <c r="K26" s="157">
        <v>0</v>
      </c>
      <c r="L26" s="231" t="str">
        <f t="shared" si="1"/>
        <v>NA</v>
      </c>
      <c r="M26" s="259">
        <f t="shared" si="5"/>
        <v>1573303.3599999999</v>
      </c>
      <c r="N26" s="247">
        <v>1140303</v>
      </c>
      <c r="O26" s="247">
        <v>433000.36</v>
      </c>
      <c r="P26" s="247">
        <v>3185272</v>
      </c>
      <c r="Q26" s="247">
        <v>4220432.1865701573</v>
      </c>
      <c r="R26" s="260">
        <f t="shared" si="2"/>
        <v>0.3727825233174959</v>
      </c>
      <c r="S26" s="259">
        <f t="shared" si="3"/>
        <v>0</v>
      </c>
      <c r="T26" s="247">
        <v>0</v>
      </c>
      <c r="U26" s="247">
        <v>0</v>
      </c>
      <c r="V26" s="247">
        <v>0</v>
      </c>
      <c r="W26" s="248">
        <v>0</v>
      </c>
      <c r="X26" s="93" t="str">
        <f t="shared" si="4"/>
        <v>NA</v>
      </c>
    </row>
    <row r="27" spans="2:24" s="94" customFormat="1">
      <c r="B27" s="305" t="s">
        <v>27</v>
      </c>
      <c r="C27" s="286">
        <v>45</v>
      </c>
      <c r="D27" s="157">
        <v>1340</v>
      </c>
      <c r="E27" s="157">
        <v>1340</v>
      </c>
      <c r="F27" s="157">
        <v>109</v>
      </c>
      <c r="G27" s="287">
        <f t="shared" si="0"/>
        <v>0.41284403669724773</v>
      </c>
      <c r="H27" s="314">
        <v>849</v>
      </c>
      <c r="I27" s="157">
        <v>21261</v>
      </c>
      <c r="J27" s="157">
        <v>24852</v>
      </c>
      <c r="K27" s="157">
        <v>15910</v>
      </c>
      <c r="L27" s="231">
        <f t="shared" si="1"/>
        <v>5.3362664990571969E-2</v>
      </c>
      <c r="M27" s="259">
        <f t="shared" si="5"/>
        <v>42968.56</v>
      </c>
      <c r="N27" s="247">
        <v>29285</v>
      </c>
      <c r="O27" s="247">
        <v>13683.56</v>
      </c>
      <c r="P27" s="247">
        <v>3030278</v>
      </c>
      <c r="Q27" s="247">
        <v>139856.46176136826</v>
      </c>
      <c r="R27" s="260">
        <f t="shared" si="2"/>
        <v>0.3072332837456993</v>
      </c>
      <c r="S27" s="259">
        <f t="shared" si="3"/>
        <v>3303.49</v>
      </c>
      <c r="T27" s="247">
        <v>665</v>
      </c>
      <c r="U27" s="247">
        <v>2638.49</v>
      </c>
      <c r="V27" s="247">
        <v>190525</v>
      </c>
      <c r="W27" s="248">
        <v>22436.294367413087</v>
      </c>
      <c r="X27" s="93">
        <f t="shared" si="4"/>
        <v>0.14723866365374727</v>
      </c>
    </row>
    <row r="28" spans="2:24" s="94" customFormat="1">
      <c r="B28" s="305" t="s">
        <v>28</v>
      </c>
      <c r="C28" s="286">
        <v>142</v>
      </c>
      <c r="D28" s="157">
        <v>745</v>
      </c>
      <c r="E28" s="157">
        <v>745</v>
      </c>
      <c r="F28" s="157">
        <v>622</v>
      </c>
      <c r="G28" s="287">
        <f t="shared" si="0"/>
        <v>0.22829581993569131</v>
      </c>
      <c r="H28" s="314">
        <v>2423</v>
      </c>
      <c r="I28" s="157">
        <v>135680</v>
      </c>
      <c r="J28" s="157">
        <v>139995</v>
      </c>
      <c r="K28" s="157">
        <v>84570</v>
      </c>
      <c r="L28" s="231">
        <f t="shared" si="1"/>
        <v>2.8650821804422372E-2</v>
      </c>
      <c r="M28" s="259">
        <f t="shared" si="5"/>
        <v>44955.08</v>
      </c>
      <c r="N28" s="247">
        <v>9795</v>
      </c>
      <c r="O28" s="247">
        <v>35160.080000000002</v>
      </c>
      <c r="P28" s="247">
        <v>118463</v>
      </c>
      <c r="Q28" s="247">
        <v>259880.30066509251</v>
      </c>
      <c r="R28" s="260" t="str">
        <f t="shared" si="2"/>
        <v>NA</v>
      </c>
      <c r="S28" s="259">
        <f t="shared" si="3"/>
        <v>8883.69</v>
      </c>
      <c r="T28" s="247">
        <v>0</v>
      </c>
      <c r="U28" s="247">
        <v>8883.69</v>
      </c>
      <c r="V28" s="247">
        <v>217786</v>
      </c>
      <c r="W28" s="248">
        <v>150342.59931794769</v>
      </c>
      <c r="X28" s="93">
        <f t="shared" si="4"/>
        <v>5.9089639531990437E-2</v>
      </c>
    </row>
    <row r="29" spans="2:24" s="94" customFormat="1">
      <c r="B29" s="305" t="s">
        <v>29</v>
      </c>
      <c r="C29" s="288">
        <v>3589</v>
      </c>
      <c r="D29" s="157">
        <v>47631</v>
      </c>
      <c r="E29" s="157">
        <v>47631</v>
      </c>
      <c r="F29" s="157">
        <v>60645</v>
      </c>
      <c r="G29" s="287">
        <f t="shared" si="0"/>
        <v>5.9180476543820595E-2</v>
      </c>
      <c r="H29" s="315">
        <v>335275.68600682594</v>
      </c>
      <c r="I29" s="157">
        <v>952001</v>
      </c>
      <c r="J29" s="157">
        <v>848431</v>
      </c>
      <c r="K29" s="157">
        <v>1842406</v>
      </c>
      <c r="L29" s="231">
        <f t="shared" si="1"/>
        <v>0.18197709191504258</v>
      </c>
      <c r="M29" s="259">
        <f t="shared" si="5"/>
        <v>2285691.2599999998</v>
      </c>
      <c r="N29" s="247">
        <v>1066518.3799999999</v>
      </c>
      <c r="O29" s="247">
        <v>1219172.8799999999</v>
      </c>
      <c r="P29" s="247">
        <v>15195829</v>
      </c>
      <c r="Q29" s="247">
        <v>14182881.682003092</v>
      </c>
      <c r="R29" s="260">
        <f t="shared" si="2"/>
        <v>0.16115845222768471</v>
      </c>
      <c r="S29" s="259">
        <f t="shared" si="3"/>
        <v>524729.02</v>
      </c>
      <c r="T29" s="247">
        <v>279674.62</v>
      </c>
      <c r="U29" s="247">
        <v>245054.4</v>
      </c>
      <c r="V29" s="247">
        <v>2302060</v>
      </c>
      <c r="W29" s="248">
        <v>2098785.2570637222</v>
      </c>
      <c r="X29" s="93">
        <f t="shared" si="4"/>
        <v>0.25001558317315187</v>
      </c>
    </row>
    <row r="30" spans="2:24" s="94" customFormat="1">
      <c r="B30" s="305" t="s">
        <v>30</v>
      </c>
      <c r="C30" s="286">
        <v>853</v>
      </c>
      <c r="D30" s="157">
        <v>4743</v>
      </c>
      <c r="E30" s="157">
        <v>4743</v>
      </c>
      <c r="F30" s="157">
        <v>6203</v>
      </c>
      <c r="G30" s="287">
        <f t="shared" si="0"/>
        <v>0.13751410607770434</v>
      </c>
      <c r="H30" s="314">
        <v>0</v>
      </c>
      <c r="I30" s="157">
        <v>52000</v>
      </c>
      <c r="J30" s="157">
        <v>59610</v>
      </c>
      <c r="K30" s="157">
        <v>21429</v>
      </c>
      <c r="L30" s="231">
        <f t="shared" si="1"/>
        <v>0</v>
      </c>
      <c r="M30" s="259">
        <f t="shared" si="5"/>
        <v>364497.55</v>
      </c>
      <c r="N30" s="247">
        <v>0</v>
      </c>
      <c r="O30" s="247">
        <v>364497.55</v>
      </c>
      <c r="P30" s="247">
        <v>1453882</v>
      </c>
      <c r="Q30" s="247">
        <v>1466430.6750571108</v>
      </c>
      <c r="R30" s="260">
        <f t="shared" si="2"/>
        <v>0.2485610511289969</v>
      </c>
      <c r="S30" s="259">
        <f t="shared" si="3"/>
        <v>10125.42</v>
      </c>
      <c r="T30" s="247">
        <v>0</v>
      </c>
      <c r="U30" s="247">
        <v>10125.42</v>
      </c>
      <c r="V30" s="247">
        <v>550562</v>
      </c>
      <c r="W30" s="248">
        <v>76612.01040380761</v>
      </c>
      <c r="X30" s="93">
        <f t="shared" si="4"/>
        <v>0.13216491704930861</v>
      </c>
    </row>
    <row r="31" spans="2:24" s="94" customFormat="1">
      <c r="B31" s="305" t="s">
        <v>31</v>
      </c>
      <c r="C31" s="286">
        <v>0</v>
      </c>
      <c r="D31" s="157">
        <v>347.66622071999996</v>
      </c>
      <c r="E31" s="157">
        <v>347.66622071999996</v>
      </c>
      <c r="F31" s="157">
        <v>282</v>
      </c>
      <c r="G31" s="287">
        <f t="shared" si="0"/>
        <v>0</v>
      </c>
      <c r="H31" s="314">
        <v>0</v>
      </c>
      <c r="I31" s="157">
        <v>0</v>
      </c>
      <c r="J31" s="157">
        <v>0</v>
      </c>
      <c r="K31" s="157">
        <v>0</v>
      </c>
      <c r="L31" s="231" t="str">
        <f t="shared" si="1"/>
        <v>NA</v>
      </c>
      <c r="M31" s="259">
        <f t="shared" si="5"/>
        <v>20123.009999999998</v>
      </c>
      <c r="N31" s="247">
        <v>0</v>
      </c>
      <c r="O31" s="247">
        <v>20123.009999999998</v>
      </c>
      <c r="P31" s="247">
        <v>219864</v>
      </c>
      <c r="Q31" s="247">
        <v>207754.96373204555</v>
      </c>
      <c r="R31" s="260">
        <f t="shared" si="2"/>
        <v>9.6859346407500962E-2</v>
      </c>
      <c r="S31" s="259">
        <f t="shared" si="3"/>
        <v>0</v>
      </c>
      <c r="T31" s="247">
        <v>0</v>
      </c>
      <c r="U31" s="247">
        <v>0</v>
      </c>
      <c r="V31" s="247">
        <v>0</v>
      </c>
      <c r="W31" s="248">
        <v>0</v>
      </c>
      <c r="X31" s="93" t="str">
        <f t="shared" si="4"/>
        <v>NA</v>
      </c>
    </row>
    <row r="32" spans="2:24" s="94" customFormat="1">
      <c r="B32" s="305" t="s">
        <v>32</v>
      </c>
      <c r="C32" s="286">
        <v>0</v>
      </c>
      <c r="D32" s="157">
        <v>3438</v>
      </c>
      <c r="E32" s="157">
        <v>3438</v>
      </c>
      <c r="F32" s="157">
        <v>5500</v>
      </c>
      <c r="G32" s="287">
        <f t="shared" si="0"/>
        <v>0</v>
      </c>
      <c r="H32" s="314">
        <v>0</v>
      </c>
      <c r="I32" s="157">
        <v>0</v>
      </c>
      <c r="J32" s="157">
        <v>0</v>
      </c>
      <c r="K32" s="157">
        <v>0</v>
      </c>
      <c r="L32" s="231" t="str">
        <f t="shared" si="1"/>
        <v>NA</v>
      </c>
      <c r="M32" s="259">
        <f t="shared" si="5"/>
        <v>2464.04</v>
      </c>
      <c r="N32" s="247">
        <v>0</v>
      </c>
      <c r="O32" s="247">
        <v>2464.04</v>
      </c>
      <c r="P32" s="247">
        <v>1255164</v>
      </c>
      <c r="Q32" s="247">
        <v>10464.566987597416</v>
      </c>
      <c r="R32" s="260">
        <f t="shared" si="2"/>
        <v>0.23546507016681867</v>
      </c>
      <c r="S32" s="259">
        <f t="shared" si="3"/>
        <v>0</v>
      </c>
      <c r="T32" s="247">
        <v>0</v>
      </c>
      <c r="U32" s="247">
        <v>0</v>
      </c>
      <c r="V32" s="247">
        <v>0</v>
      </c>
      <c r="W32" s="248">
        <v>0</v>
      </c>
      <c r="X32" s="93" t="str">
        <f t="shared" si="4"/>
        <v>NA</v>
      </c>
    </row>
    <row r="33" spans="2:24" s="94" customFormat="1">
      <c r="B33" s="305" t="s">
        <v>33</v>
      </c>
      <c r="C33" s="286">
        <v>0</v>
      </c>
      <c r="D33" s="157">
        <v>867</v>
      </c>
      <c r="E33" s="157">
        <v>867</v>
      </c>
      <c r="F33" s="157">
        <v>0</v>
      </c>
      <c r="G33" s="287" t="str">
        <f t="shared" si="0"/>
        <v>NA</v>
      </c>
      <c r="H33" s="314">
        <v>0</v>
      </c>
      <c r="I33" s="157">
        <v>0</v>
      </c>
      <c r="J33" s="157">
        <v>0</v>
      </c>
      <c r="K33" s="157">
        <v>0</v>
      </c>
      <c r="L33" s="231" t="str">
        <f t="shared" si="1"/>
        <v>NA</v>
      </c>
      <c r="M33" s="259">
        <f t="shared" si="5"/>
        <v>121375.01999999999</v>
      </c>
      <c r="N33" s="247">
        <v>0</v>
      </c>
      <c r="O33" s="247">
        <v>121375.01999999999</v>
      </c>
      <c r="P33" s="247">
        <v>158604</v>
      </c>
      <c r="Q33" s="247">
        <v>327844.48733308469</v>
      </c>
      <c r="R33" s="260">
        <f t="shared" si="2"/>
        <v>0.3702213234919669</v>
      </c>
      <c r="S33" s="259">
        <f t="shared" si="3"/>
        <v>13160.380000000001</v>
      </c>
      <c r="T33" s="247">
        <v>0</v>
      </c>
      <c r="U33" s="247">
        <v>13160.380000000001</v>
      </c>
      <c r="V33" s="247">
        <v>10500</v>
      </c>
      <c r="W33" s="248">
        <v>36959.175441649968</v>
      </c>
      <c r="X33" s="93">
        <f t="shared" si="4"/>
        <v>0.35607883137915813</v>
      </c>
    </row>
    <row r="34" spans="2:24" s="94" customFormat="1">
      <c r="B34" s="305"/>
      <c r="C34" s="289"/>
      <c r="D34" s="157"/>
      <c r="E34" s="157"/>
      <c r="F34" s="157"/>
      <c r="G34" s="287"/>
      <c r="H34" s="243"/>
      <c r="I34" s="154"/>
      <c r="J34" s="154"/>
      <c r="K34" s="154"/>
      <c r="L34" s="231"/>
      <c r="M34" s="261"/>
      <c r="N34" s="262"/>
      <c r="O34" s="262"/>
      <c r="P34" s="262"/>
      <c r="Q34" s="262"/>
      <c r="R34" s="260"/>
      <c r="S34" s="263"/>
      <c r="T34" s="264"/>
      <c r="U34" s="264"/>
      <c r="V34" s="264"/>
      <c r="W34" s="252"/>
      <c r="X34" s="93"/>
    </row>
    <row r="35" spans="2:24" s="92" customFormat="1">
      <c r="B35" s="306" t="s">
        <v>34</v>
      </c>
      <c r="C35" s="290">
        <f>SUM(C23:C34)</f>
        <v>21882</v>
      </c>
      <c r="D35" s="232">
        <f>SUM(D23:D34)</f>
        <v>160680.66622072001</v>
      </c>
      <c r="E35" s="232">
        <f>SUM(E23:E34)</f>
        <v>160680.66622072001</v>
      </c>
      <c r="F35" s="232">
        <f>SUM(F23:F34)</f>
        <v>167056</v>
      </c>
      <c r="G35" s="291">
        <f t="shared" si="0"/>
        <v>0.1309860166650704</v>
      </c>
      <c r="H35" s="316">
        <f>SUM(H23:H34)</f>
        <v>551136.72013651882</v>
      </c>
      <c r="I35" s="232">
        <f>SUM(I23:I34)</f>
        <v>1426349</v>
      </c>
      <c r="J35" s="232">
        <f>SUM(J23:J34)</f>
        <v>1341001</v>
      </c>
      <c r="K35" s="232">
        <f>SUM(K23:K34)</f>
        <v>2489555</v>
      </c>
      <c r="L35" s="233">
        <f t="shared" ref="L35" si="6">IF(K35=0,"NA",H35/K35)</f>
        <v>0.22137961207385209</v>
      </c>
      <c r="M35" s="265">
        <f t="shared" ref="M35:M85" si="7">SUM(N35:O35)</f>
        <v>8428721.3499999996</v>
      </c>
      <c r="N35" s="257">
        <f>SUM(N23:N34)</f>
        <v>3617946.74</v>
      </c>
      <c r="O35" s="257">
        <f>SUM(O23:O34)</f>
        <v>4810774.6099999994</v>
      </c>
      <c r="P35" s="257">
        <f>SUM(P23:P34)</f>
        <v>48423567.530000001</v>
      </c>
      <c r="Q35" s="257">
        <f>SUM(Q23:Q34)</f>
        <v>45699535.939399496</v>
      </c>
      <c r="R35" s="266">
        <f t="shared" ref="R35:R86" si="8">IF(Q35=0,"NA",(M35/Q35))</f>
        <v>0.18443778862824828</v>
      </c>
      <c r="S35" s="265">
        <f t="shared" si="3"/>
        <v>1199346.24</v>
      </c>
      <c r="T35" s="257">
        <f>SUM(T23:T34)</f>
        <v>613577.16999999993</v>
      </c>
      <c r="U35" s="257">
        <f>SUM(U23:U34)</f>
        <v>585769.07000000007</v>
      </c>
      <c r="V35" s="257">
        <f>SUM(V23:V34)</f>
        <v>4886982</v>
      </c>
      <c r="W35" s="249">
        <f>SUM(W23:W34)</f>
        <v>4687248.9272957314</v>
      </c>
      <c r="X35" s="12">
        <f t="shared" ref="X35:X86" si="9">IF(W35=0,"NA",(S35/W35))</f>
        <v>0.25587423638111589</v>
      </c>
    </row>
    <row r="36" spans="2:24">
      <c r="B36" s="307" t="s">
        <v>35</v>
      </c>
      <c r="C36" s="292">
        <f>C35-C37</f>
        <v>14842</v>
      </c>
      <c r="D36" s="234">
        <f>D35-D37</f>
        <v>134512.66622072001</v>
      </c>
      <c r="E36" s="234">
        <f>E35-E37</f>
        <v>134512.66622072001</v>
      </c>
      <c r="F36" s="234">
        <f>F35-F37</f>
        <v>143089</v>
      </c>
      <c r="G36" s="293">
        <f t="shared" si="0"/>
        <v>0.10372565326475131</v>
      </c>
      <c r="H36" s="317">
        <f>H35-H37</f>
        <v>484201.72013651882</v>
      </c>
      <c r="I36" s="234">
        <f>I35-I37</f>
        <v>1078244</v>
      </c>
      <c r="J36" s="234">
        <f>J35-J37</f>
        <v>1032414</v>
      </c>
      <c r="K36" s="267">
        <f>K35-K37</f>
        <v>2228828</v>
      </c>
      <c r="L36" s="235">
        <f t="shared" si="1"/>
        <v>0.21724499159940508</v>
      </c>
      <c r="M36" s="268">
        <f>SUM(N36:O36)</f>
        <v>6114569.3599999994</v>
      </c>
      <c r="N36" s="269">
        <f>N35-N37</f>
        <v>2605778.87</v>
      </c>
      <c r="O36" s="269">
        <f>O35-O37</f>
        <v>3508790.4899999993</v>
      </c>
      <c r="P36" s="269">
        <f>P35-P37</f>
        <v>40589966.32</v>
      </c>
      <c r="Q36" s="251">
        <f>Q35-Q37</f>
        <v>36969493.939399496</v>
      </c>
      <c r="R36" s="244">
        <f t="shared" si="8"/>
        <v>0.16539499756266665</v>
      </c>
      <c r="S36" s="270">
        <f>SUM(T36:U36)</f>
        <v>769472.81</v>
      </c>
      <c r="T36" s="251">
        <f>T35-T37</f>
        <v>403745.94999999995</v>
      </c>
      <c r="U36" s="251">
        <f>U35-U37</f>
        <v>365726.8600000001</v>
      </c>
      <c r="V36" s="251">
        <f>V35-V37</f>
        <v>3389146.94</v>
      </c>
      <c r="W36" s="250">
        <f>W35-W37</f>
        <v>3024761.9272957314</v>
      </c>
      <c r="X36" s="11">
        <f t="shared" si="9"/>
        <v>0.2543911978844372</v>
      </c>
    </row>
    <row r="37" spans="2:24">
      <c r="B37" s="307" t="s">
        <v>36</v>
      </c>
      <c r="C37" s="292">
        <v>7040</v>
      </c>
      <c r="D37" s="234">
        <v>26168</v>
      </c>
      <c r="E37" s="234">
        <v>26168</v>
      </c>
      <c r="F37" s="234">
        <v>23967</v>
      </c>
      <c r="G37" s="293">
        <f t="shared" si="0"/>
        <v>0.29373722201360203</v>
      </c>
      <c r="H37" s="317">
        <v>66935</v>
      </c>
      <c r="I37" s="234">
        <v>348105</v>
      </c>
      <c r="J37" s="234">
        <v>308587</v>
      </c>
      <c r="K37" s="267">
        <v>260727</v>
      </c>
      <c r="L37" s="235">
        <f t="shared" si="1"/>
        <v>0.2567244665876568</v>
      </c>
      <c r="M37" s="268">
        <f>SUM(N37:O37)</f>
        <v>2314151.9900000002</v>
      </c>
      <c r="N37" s="269">
        <v>1012167.87</v>
      </c>
      <c r="O37" s="269">
        <v>1301984.1200000001</v>
      </c>
      <c r="P37" s="251">
        <v>7833601.21</v>
      </c>
      <c r="Q37" s="251">
        <v>8730042</v>
      </c>
      <c r="R37" s="244">
        <f t="shared" si="8"/>
        <v>0.26507913593084664</v>
      </c>
      <c r="S37" s="270">
        <f>SUM(T37:U37)</f>
        <v>429873.43</v>
      </c>
      <c r="T37" s="251">
        <v>209831.22</v>
      </c>
      <c r="U37" s="251">
        <v>220042.21</v>
      </c>
      <c r="V37" s="251">
        <v>1497835.06</v>
      </c>
      <c r="W37" s="251">
        <v>1662487</v>
      </c>
      <c r="X37" s="11">
        <f t="shared" si="9"/>
        <v>0.25857250613087501</v>
      </c>
    </row>
    <row r="38" spans="2:24" s="92" customFormat="1" ht="15.6" customHeight="1">
      <c r="B38" s="308" t="s">
        <v>37</v>
      </c>
      <c r="C38" s="294"/>
      <c r="D38" s="236"/>
      <c r="E38" s="236"/>
      <c r="F38" s="236"/>
      <c r="G38" s="295"/>
      <c r="H38" s="238"/>
      <c r="I38" s="238"/>
      <c r="J38" s="236"/>
      <c r="K38" s="236"/>
      <c r="L38" s="237"/>
      <c r="M38" s="271"/>
      <c r="N38" s="134"/>
      <c r="O38" s="134"/>
      <c r="P38" s="134"/>
      <c r="Q38" s="134"/>
      <c r="R38" s="272"/>
      <c r="S38" s="271"/>
      <c r="T38" s="134"/>
      <c r="U38" s="134"/>
      <c r="V38" s="134"/>
      <c r="W38" s="108"/>
      <c r="X38" s="107"/>
    </row>
    <row r="39" spans="2:24" s="94" customFormat="1">
      <c r="B39" s="305" t="s">
        <v>38</v>
      </c>
      <c r="C39" s="289">
        <v>25</v>
      </c>
      <c r="D39" s="157">
        <v>1191.6489999999999</v>
      </c>
      <c r="E39" s="157">
        <v>1191.6489999999999</v>
      </c>
      <c r="F39" s="154">
        <v>76</v>
      </c>
      <c r="G39" s="296">
        <f t="shared" si="0"/>
        <v>0.32894736842105265</v>
      </c>
      <c r="H39" s="243">
        <v>3392</v>
      </c>
      <c r="I39" s="157">
        <v>207216</v>
      </c>
      <c r="J39" s="157">
        <v>64417</v>
      </c>
      <c r="K39" s="154">
        <v>14394</v>
      </c>
      <c r="L39" s="231">
        <f>IF(K39=0,"NA",H39/K39)</f>
        <v>0.23565374461581215</v>
      </c>
      <c r="M39" s="263">
        <f t="shared" si="7"/>
        <v>73243.579999999987</v>
      </c>
      <c r="N39" s="264">
        <v>38902.869999999995</v>
      </c>
      <c r="O39" s="264">
        <v>34340.71</v>
      </c>
      <c r="P39" s="247">
        <v>1430832</v>
      </c>
      <c r="Q39" s="264">
        <v>304137.99644922523</v>
      </c>
      <c r="R39" s="260">
        <f>IF(Q39=0,"NA",(M39/Q39))</f>
        <v>0.24082351056135712</v>
      </c>
      <c r="S39" s="263">
        <f t="shared" si="3"/>
        <v>69335.34</v>
      </c>
      <c r="T39" s="264">
        <v>43427.83</v>
      </c>
      <c r="U39" s="264">
        <v>25907.51</v>
      </c>
      <c r="V39" s="247">
        <v>716920</v>
      </c>
      <c r="W39" s="252">
        <v>227877.60552787501</v>
      </c>
      <c r="X39" s="95">
        <f t="shared" si="9"/>
        <v>0.30426570368503625</v>
      </c>
    </row>
    <row r="40" spans="2:24" s="94" customFormat="1">
      <c r="B40" s="305" t="s">
        <v>39</v>
      </c>
      <c r="C40" s="289">
        <v>691</v>
      </c>
      <c r="D40" s="157">
        <v>6378.53</v>
      </c>
      <c r="E40" s="157">
        <v>6378.53</v>
      </c>
      <c r="F40" s="154">
        <v>3737</v>
      </c>
      <c r="G40" s="296">
        <f t="shared" si="0"/>
        <v>0.18490767995718491</v>
      </c>
      <c r="H40" s="243">
        <v>5202</v>
      </c>
      <c r="I40" s="157">
        <v>0</v>
      </c>
      <c r="J40" s="157">
        <v>0</v>
      </c>
      <c r="K40" s="154">
        <v>35231</v>
      </c>
      <c r="L40" s="231">
        <f t="shared" ref="L40:L50" si="10">IF(K40=0,"NA",H40/K40)</f>
        <v>0.14765405466776418</v>
      </c>
      <c r="M40" s="263">
        <f t="shared" si="7"/>
        <v>757690.3</v>
      </c>
      <c r="N40" s="264">
        <v>416575</v>
      </c>
      <c r="O40" s="264">
        <v>341115.3</v>
      </c>
      <c r="P40" s="247">
        <v>3065162</v>
      </c>
      <c r="Q40" s="264">
        <v>3027250.3067744444</v>
      </c>
      <c r="R40" s="260">
        <f t="shared" ref="R40:R50" si="11">IF(Q40=0,"NA",(M40/Q40))</f>
        <v>0.25028994077708894</v>
      </c>
      <c r="S40" s="263">
        <f t="shared" si="3"/>
        <v>15585.07</v>
      </c>
      <c r="T40" s="264">
        <v>8900</v>
      </c>
      <c r="U40" s="264">
        <v>6685.07</v>
      </c>
      <c r="V40" s="247">
        <v>0</v>
      </c>
      <c r="W40" s="252">
        <v>92134.773696327597</v>
      </c>
      <c r="X40" s="95">
        <f t="shared" si="9"/>
        <v>0.16915513410135186</v>
      </c>
    </row>
    <row r="41" spans="2:24" s="94" customFormat="1">
      <c r="B41" s="305" t="s">
        <v>40</v>
      </c>
      <c r="C41" s="289">
        <v>23</v>
      </c>
      <c r="D41" s="157">
        <v>568.91999999999996</v>
      </c>
      <c r="E41" s="157">
        <v>568.91999999999996</v>
      </c>
      <c r="F41" s="154">
        <v>1865</v>
      </c>
      <c r="G41" s="296">
        <f t="shared" si="0"/>
        <v>1.2332439678284183E-2</v>
      </c>
      <c r="H41" s="243">
        <v>2662</v>
      </c>
      <c r="I41" s="157">
        <v>25381</v>
      </c>
      <c r="J41" s="157">
        <v>24541</v>
      </c>
      <c r="K41" s="154">
        <v>17852</v>
      </c>
      <c r="L41" s="231">
        <f t="shared" si="10"/>
        <v>0.14911494510419002</v>
      </c>
      <c r="M41" s="263">
        <f t="shared" si="7"/>
        <v>27104.63</v>
      </c>
      <c r="N41" s="264">
        <v>5088.8600000000006</v>
      </c>
      <c r="O41" s="264">
        <v>22015.77</v>
      </c>
      <c r="P41" s="247">
        <v>426572</v>
      </c>
      <c r="Q41" s="264">
        <v>335117.91772697441</v>
      </c>
      <c r="R41" s="260">
        <f t="shared" si="11"/>
        <v>8.0880873764805822E-2</v>
      </c>
      <c r="S41" s="263">
        <f t="shared" si="3"/>
        <v>10777.15</v>
      </c>
      <c r="T41" s="264">
        <v>3297.7799999999997</v>
      </c>
      <c r="U41" s="264">
        <v>7479.37</v>
      </c>
      <c r="V41" s="247">
        <v>143262</v>
      </c>
      <c r="W41" s="252">
        <v>59316.210361622398</v>
      </c>
      <c r="X41" s="95">
        <f t="shared" si="9"/>
        <v>0.18168979330096952</v>
      </c>
    </row>
    <row r="42" spans="2:24" s="94" customFormat="1">
      <c r="B42" s="305" t="s">
        <v>41</v>
      </c>
      <c r="C42" s="289">
        <v>0</v>
      </c>
      <c r="D42" s="157">
        <v>3620.63</v>
      </c>
      <c r="E42" s="157">
        <v>3620.63</v>
      </c>
      <c r="F42" s="154">
        <v>1084</v>
      </c>
      <c r="G42" s="296">
        <f t="shared" si="0"/>
        <v>0</v>
      </c>
      <c r="H42" s="243">
        <v>0</v>
      </c>
      <c r="I42" s="157">
        <v>0</v>
      </c>
      <c r="J42" s="157">
        <v>0</v>
      </c>
      <c r="K42" s="154">
        <v>0</v>
      </c>
      <c r="L42" s="231" t="str">
        <f t="shared" si="10"/>
        <v>NA</v>
      </c>
      <c r="M42" s="263">
        <f t="shared" si="7"/>
        <v>28692.35</v>
      </c>
      <c r="N42" s="264">
        <v>0</v>
      </c>
      <c r="O42" s="264">
        <v>28692.35</v>
      </c>
      <c r="P42" s="247">
        <v>908820</v>
      </c>
      <c r="Q42" s="264">
        <v>344626.7685576012</v>
      </c>
      <c r="R42" s="260">
        <f t="shared" si="11"/>
        <v>8.3256301070543035E-2</v>
      </c>
      <c r="S42" s="263">
        <f t="shared" si="3"/>
        <v>0</v>
      </c>
      <c r="T42" s="264">
        <v>0</v>
      </c>
      <c r="U42" s="264">
        <v>0</v>
      </c>
      <c r="V42" s="247">
        <v>0</v>
      </c>
      <c r="W42" s="252">
        <v>0</v>
      </c>
      <c r="X42" s="95" t="str">
        <f t="shared" si="9"/>
        <v>NA</v>
      </c>
    </row>
    <row r="43" spans="2:24" s="94" customFormat="1">
      <c r="B43" s="305" t="s">
        <v>42</v>
      </c>
      <c r="C43" s="289">
        <v>1</v>
      </c>
      <c r="D43" s="157">
        <v>8748.16</v>
      </c>
      <c r="E43" s="157">
        <v>8748.16</v>
      </c>
      <c r="F43" s="154">
        <v>288</v>
      </c>
      <c r="G43" s="296">
        <f t="shared" si="0"/>
        <v>3.472222222222222E-3</v>
      </c>
      <c r="H43" s="243">
        <v>90</v>
      </c>
      <c r="I43" s="157">
        <v>35693</v>
      </c>
      <c r="J43" s="157">
        <v>34699</v>
      </c>
      <c r="K43" s="154">
        <v>12502</v>
      </c>
      <c r="L43" s="231">
        <f t="shared" si="10"/>
        <v>7.1988481842905133E-3</v>
      </c>
      <c r="M43" s="263">
        <f t="shared" si="7"/>
        <v>10423.18</v>
      </c>
      <c r="N43" s="264">
        <v>327</v>
      </c>
      <c r="O43" s="264">
        <v>10096.18</v>
      </c>
      <c r="P43" s="247">
        <v>4546424</v>
      </c>
      <c r="Q43" s="264">
        <v>87255.135948905998</v>
      </c>
      <c r="R43" s="260">
        <f t="shared" si="11"/>
        <v>0.11945634932141419</v>
      </c>
      <c r="S43" s="263">
        <f t="shared" si="3"/>
        <v>2040.15</v>
      </c>
      <c r="T43" s="264">
        <v>0</v>
      </c>
      <c r="U43" s="264">
        <v>2040.15</v>
      </c>
      <c r="V43" s="247">
        <v>383211</v>
      </c>
      <c r="W43" s="252">
        <v>34128.980658182598</v>
      </c>
      <c r="X43" s="95">
        <f t="shared" si="9"/>
        <v>5.9777642363041499E-2</v>
      </c>
    </row>
    <row r="44" spans="2:24" s="94" customFormat="1">
      <c r="B44" s="305" t="s">
        <v>43</v>
      </c>
      <c r="C44" s="289">
        <v>0</v>
      </c>
      <c r="D44" s="157">
        <v>2318.06</v>
      </c>
      <c r="E44" s="157">
        <v>2318.06</v>
      </c>
      <c r="F44" s="154">
        <v>6868</v>
      </c>
      <c r="G44" s="296">
        <f t="shared" si="0"/>
        <v>0</v>
      </c>
      <c r="H44" s="243">
        <v>0</v>
      </c>
      <c r="I44" s="157">
        <v>51962</v>
      </c>
      <c r="J44" s="157">
        <v>75635</v>
      </c>
      <c r="K44" s="154">
        <v>223520</v>
      </c>
      <c r="L44" s="231">
        <f t="shared" si="10"/>
        <v>0</v>
      </c>
      <c r="M44" s="263">
        <f t="shared" si="7"/>
        <v>76402.89</v>
      </c>
      <c r="N44" s="264">
        <v>0</v>
      </c>
      <c r="O44" s="264">
        <v>76402.89</v>
      </c>
      <c r="P44" s="247">
        <v>870397</v>
      </c>
      <c r="Q44" s="264">
        <v>1203888.9560603932</v>
      </c>
      <c r="R44" s="260">
        <f t="shared" si="11"/>
        <v>6.346340301186984E-2</v>
      </c>
      <c r="S44" s="263">
        <f t="shared" si="3"/>
        <v>10709.11</v>
      </c>
      <c r="T44" s="264">
        <v>0</v>
      </c>
      <c r="U44" s="264">
        <v>10709.11</v>
      </c>
      <c r="V44" s="247">
        <v>117206</v>
      </c>
      <c r="W44" s="252">
        <v>277943.84675378399</v>
      </c>
      <c r="X44" s="95">
        <f t="shared" si="9"/>
        <v>3.8529761047333584E-2</v>
      </c>
    </row>
    <row r="45" spans="2:24" s="94" customFormat="1">
      <c r="B45" s="305" t="s">
        <v>44</v>
      </c>
      <c r="C45" s="289">
        <v>0</v>
      </c>
      <c r="D45" s="157">
        <v>0</v>
      </c>
      <c r="E45" s="157">
        <v>0</v>
      </c>
      <c r="F45" s="154">
        <v>1397</v>
      </c>
      <c r="G45" s="296">
        <f t="shared" si="0"/>
        <v>0</v>
      </c>
      <c r="H45" s="243">
        <v>0</v>
      </c>
      <c r="I45" s="157">
        <v>0</v>
      </c>
      <c r="J45" s="157">
        <v>0</v>
      </c>
      <c r="K45" s="154">
        <v>42755</v>
      </c>
      <c r="L45" s="231">
        <f t="shared" si="10"/>
        <v>0</v>
      </c>
      <c r="M45" s="263">
        <f t="shared" si="7"/>
        <v>1519.5</v>
      </c>
      <c r="N45" s="264">
        <v>0</v>
      </c>
      <c r="O45" s="264">
        <v>1519.5</v>
      </c>
      <c r="P45" s="247">
        <v>0</v>
      </c>
      <c r="Q45" s="264">
        <v>332349.82592430199</v>
      </c>
      <c r="R45" s="260">
        <f t="shared" si="11"/>
        <v>4.5719897574012583E-3</v>
      </c>
      <c r="S45" s="263">
        <f t="shared" si="3"/>
        <v>373.07</v>
      </c>
      <c r="T45" s="264">
        <v>0</v>
      </c>
      <c r="U45" s="264">
        <v>373.07</v>
      </c>
      <c r="V45" s="247">
        <v>0</v>
      </c>
      <c r="W45" s="252">
        <v>104869.9895196014</v>
      </c>
      <c r="X45" s="95">
        <f t="shared" si="9"/>
        <v>3.5574524390532998E-3</v>
      </c>
    </row>
    <row r="46" spans="2:24" s="94" customFormat="1">
      <c r="B46" s="305" t="s">
        <v>45</v>
      </c>
      <c r="C46" s="289">
        <v>412.09800000000001</v>
      </c>
      <c r="D46" s="157">
        <v>49541.99</v>
      </c>
      <c r="E46" s="157">
        <v>49541.99</v>
      </c>
      <c r="F46" s="154">
        <v>3944</v>
      </c>
      <c r="G46" s="296">
        <f t="shared" si="0"/>
        <v>0.10448732251521299</v>
      </c>
      <c r="H46" s="243">
        <v>5337.1740614334467</v>
      </c>
      <c r="I46" s="157">
        <v>240122</v>
      </c>
      <c r="J46" s="157">
        <v>300019</v>
      </c>
      <c r="K46" s="154">
        <v>26827</v>
      </c>
      <c r="L46" s="231">
        <f t="shared" si="10"/>
        <v>0.1989478533355741</v>
      </c>
      <c r="M46" s="263">
        <f t="shared" si="7"/>
        <v>524122.05</v>
      </c>
      <c r="N46" s="264">
        <v>152923.37</v>
      </c>
      <c r="O46" s="264">
        <v>371198.68</v>
      </c>
      <c r="P46" s="247">
        <v>5570009</v>
      </c>
      <c r="Q46" s="264">
        <v>3567413.1205550889</v>
      </c>
      <c r="R46" s="260">
        <f t="shared" si="11"/>
        <v>0.14691935929148758</v>
      </c>
      <c r="S46" s="263">
        <f t="shared" si="3"/>
        <v>43973.21</v>
      </c>
      <c r="T46" s="264">
        <v>9972.7900000000009</v>
      </c>
      <c r="U46" s="264">
        <v>34000.42</v>
      </c>
      <c r="V46" s="247">
        <v>357286</v>
      </c>
      <c r="W46" s="252">
        <v>175173.42604173659</v>
      </c>
      <c r="X46" s="95">
        <f t="shared" si="9"/>
        <v>0.25102671674368576</v>
      </c>
    </row>
    <row r="47" spans="2:24" s="94" customFormat="1">
      <c r="B47" s="305" t="s">
        <v>46</v>
      </c>
      <c r="C47" s="289">
        <v>722.30200000000002</v>
      </c>
      <c r="D47" s="157">
        <v>948.44</v>
      </c>
      <c r="E47" s="157">
        <v>948.44</v>
      </c>
      <c r="F47" s="154">
        <v>9691</v>
      </c>
      <c r="G47" s="296">
        <f t="shared" si="0"/>
        <v>7.453327829945311E-2</v>
      </c>
      <c r="H47" s="243">
        <v>91638.474402730382</v>
      </c>
      <c r="I47" s="157">
        <v>239176</v>
      </c>
      <c r="J47" s="157">
        <v>298970</v>
      </c>
      <c r="K47" s="154">
        <v>237546</v>
      </c>
      <c r="L47" s="231">
        <f t="shared" si="10"/>
        <v>0.38577149016498019</v>
      </c>
      <c r="M47" s="273">
        <f t="shared" si="7"/>
        <v>300937.68</v>
      </c>
      <c r="N47" s="264">
        <v>99801.37</v>
      </c>
      <c r="O47" s="264">
        <v>201136.31</v>
      </c>
      <c r="P47" s="247">
        <v>268295</v>
      </c>
      <c r="Q47" s="264">
        <v>3322108.3458080636</v>
      </c>
      <c r="R47" s="260">
        <f t="shared" si="11"/>
        <v>9.0586353205407102E-2</v>
      </c>
      <c r="S47" s="263">
        <f t="shared" si="3"/>
        <v>124164.96999999999</v>
      </c>
      <c r="T47" s="264">
        <v>112399.82999999999</v>
      </c>
      <c r="U47" s="264">
        <v>11765.14</v>
      </c>
      <c r="V47" s="247">
        <v>357222</v>
      </c>
      <c r="W47" s="252">
        <v>369445.77162329538</v>
      </c>
      <c r="X47" s="95">
        <f t="shared" si="9"/>
        <v>0.33608442574517955</v>
      </c>
    </row>
    <row r="48" spans="2:24" s="94" customFormat="1">
      <c r="B48" s="305" t="s">
        <v>47</v>
      </c>
      <c r="C48" s="289">
        <v>0</v>
      </c>
      <c r="D48" s="157">
        <v>2070.9</v>
      </c>
      <c r="E48" s="157">
        <v>2070.9</v>
      </c>
      <c r="F48" s="154">
        <v>0</v>
      </c>
      <c r="G48" s="296" t="str">
        <f t="shared" si="0"/>
        <v>NA</v>
      </c>
      <c r="H48" s="243">
        <v>0</v>
      </c>
      <c r="I48" s="157">
        <v>154136</v>
      </c>
      <c r="J48" s="157">
        <v>126479</v>
      </c>
      <c r="K48" s="154">
        <v>0</v>
      </c>
      <c r="L48" s="231" t="str">
        <f t="shared" si="10"/>
        <v>NA</v>
      </c>
      <c r="M48" s="263">
        <f t="shared" si="7"/>
        <v>0</v>
      </c>
      <c r="N48" s="264">
        <v>0</v>
      </c>
      <c r="O48" s="264">
        <v>0</v>
      </c>
      <c r="P48" s="247">
        <v>350000</v>
      </c>
      <c r="Q48" s="264">
        <v>0</v>
      </c>
      <c r="R48" s="260" t="str">
        <f t="shared" si="11"/>
        <v>NA</v>
      </c>
      <c r="S48" s="263">
        <f t="shared" si="3"/>
        <v>0</v>
      </c>
      <c r="T48" s="264">
        <v>0</v>
      </c>
      <c r="U48" s="264">
        <v>0</v>
      </c>
      <c r="V48" s="247">
        <v>260530</v>
      </c>
      <c r="W48" s="252">
        <v>0</v>
      </c>
      <c r="X48" s="95" t="str">
        <f t="shared" si="9"/>
        <v>NA</v>
      </c>
    </row>
    <row r="49" spans="2:24" s="94" customFormat="1">
      <c r="B49" s="305" t="s">
        <v>48</v>
      </c>
      <c r="C49" s="289">
        <v>0</v>
      </c>
      <c r="D49" s="157">
        <v>7126.15</v>
      </c>
      <c r="E49" s="157">
        <v>7126.15</v>
      </c>
      <c r="F49" s="154">
        <v>0</v>
      </c>
      <c r="G49" s="296" t="str">
        <f t="shared" si="0"/>
        <v>NA</v>
      </c>
      <c r="H49" s="243">
        <v>0</v>
      </c>
      <c r="I49" s="157">
        <v>105518</v>
      </c>
      <c r="J49" s="157">
        <v>92329</v>
      </c>
      <c r="K49" s="154">
        <v>0</v>
      </c>
      <c r="L49" s="231" t="str">
        <f t="shared" si="10"/>
        <v>NA</v>
      </c>
      <c r="M49" s="263">
        <f t="shared" si="7"/>
        <v>16320</v>
      </c>
      <c r="N49" s="264">
        <v>0</v>
      </c>
      <c r="O49" s="264">
        <v>16320</v>
      </c>
      <c r="P49" s="247">
        <v>563389</v>
      </c>
      <c r="Q49" s="264">
        <v>54664</v>
      </c>
      <c r="R49" s="260">
        <f t="shared" si="11"/>
        <v>0.29855114883652861</v>
      </c>
      <c r="S49" s="263">
        <f t="shared" si="3"/>
        <v>2225.46</v>
      </c>
      <c r="T49" s="264">
        <v>0</v>
      </c>
      <c r="U49" s="264">
        <v>2225.46</v>
      </c>
      <c r="V49" s="247">
        <v>56015</v>
      </c>
      <c r="W49" s="252">
        <v>7454</v>
      </c>
      <c r="X49" s="95">
        <f t="shared" si="9"/>
        <v>0.29855916286557554</v>
      </c>
    </row>
    <row r="50" spans="2:24" s="94" customFormat="1">
      <c r="B50" s="305" t="s">
        <v>49</v>
      </c>
      <c r="C50" s="289">
        <v>37</v>
      </c>
      <c r="D50" s="157">
        <v>3476.71</v>
      </c>
      <c r="E50" s="157">
        <v>3476.71</v>
      </c>
      <c r="F50" s="154">
        <v>577</v>
      </c>
      <c r="G50" s="296">
        <f>IF(F50=0,"NA",C50/F50)</f>
        <v>6.4124783362218371E-2</v>
      </c>
      <c r="H50" s="243">
        <v>0</v>
      </c>
      <c r="I50" s="157">
        <v>50957</v>
      </c>
      <c r="J50" s="157">
        <v>53468</v>
      </c>
      <c r="K50" s="154">
        <v>9656</v>
      </c>
      <c r="L50" s="231">
        <f t="shared" si="10"/>
        <v>0</v>
      </c>
      <c r="M50" s="263">
        <f t="shared" si="7"/>
        <v>69755.94</v>
      </c>
      <c r="N50" s="264">
        <v>1344.9099999999999</v>
      </c>
      <c r="O50" s="264">
        <v>68411.03</v>
      </c>
      <c r="P50" s="247">
        <v>2827729</v>
      </c>
      <c r="Q50" s="264">
        <v>910107.86373129359</v>
      </c>
      <c r="R50" s="260">
        <f t="shared" si="11"/>
        <v>7.6645794174343293E-2</v>
      </c>
      <c r="S50" s="263">
        <f t="shared" si="3"/>
        <v>8169.61</v>
      </c>
      <c r="T50" s="264">
        <v>0</v>
      </c>
      <c r="U50" s="264">
        <v>8169.61</v>
      </c>
      <c r="V50" s="247">
        <v>406437</v>
      </c>
      <c r="W50" s="252">
        <v>110066.3886175276</v>
      </c>
      <c r="X50" s="95">
        <f t="shared" si="9"/>
        <v>7.4224384960869194E-2</v>
      </c>
    </row>
    <row r="51" spans="2:24" s="94" customFormat="1">
      <c r="B51" s="305"/>
      <c r="C51" s="289"/>
      <c r="D51" s="157"/>
      <c r="E51" s="157"/>
      <c r="F51" s="154"/>
      <c r="G51" s="296"/>
      <c r="H51" s="243"/>
      <c r="I51" s="157"/>
      <c r="J51" s="157"/>
      <c r="K51" s="154"/>
      <c r="L51" s="231"/>
      <c r="M51" s="263"/>
      <c r="N51" s="264"/>
      <c r="O51" s="264"/>
      <c r="P51" s="247"/>
      <c r="Q51" s="264"/>
      <c r="R51" s="241"/>
      <c r="S51" s="263">
        <f t="shared" si="3"/>
        <v>0</v>
      </c>
      <c r="T51" s="264"/>
      <c r="U51" s="264"/>
      <c r="V51" s="247"/>
      <c r="W51" s="252"/>
      <c r="X51" s="95"/>
    </row>
    <row r="52" spans="2:24" s="94" customFormat="1">
      <c r="B52" s="305"/>
      <c r="C52" s="289"/>
      <c r="D52" s="154"/>
      <c r="E52" s="154"/>
      <c r="F52" s="154"/>
      <c r="G52" s="296"/>
      <c r="H52" s="243"/>
      <c r="I52" s="154"/>
      <c r="J52" s="154"/>
      <c r="K52" s="154"/>
      <c r="L52" s="239"/>
      <c r="M52" s="263"/>
      <c r="N52" s="264"/>
      <c r="O52" s="264"/>
      <c r="P52" s="264"/>
      <c r="Q52" s="264"/>
      <c r="R52" s="241"/>
      <c r="S52" s="263"/>
      <c r="T52" s="264"/>
      <c r="U52" s="264"/>
      <c r="V52" s="264"/>
      <c r="W52" s="252"/>
      <c r="X52" s="95"/>
    </row>
    <row r="53" spans="2:24" s="92" customFormat="1">
      <c r="B53" s="306" t="s">
        <v>50</v>
      </c>
      <c r="C53" s="290">
        <f>SUM(C39:C52)</f>
        <v>1911.4</v>
      </c>
      <c r="D53" s="232">
        <f>SUM(D39:D52)</f>
        <v>85990.138999999996</v>
      </c>
      <c r="E53" s="232">
        <f>SUM(E39:E52)</f>
        <v>85990.138999999996</v>
      </c>
      <c r="F53" s="232">
        <f>SUM(F39:F52)</f>
        <v>29527</v>
      </c>
      <c r="G53" s="291">
        <f t="shared" si="0"/>
        <v>6.4733972296542153E-2</v>
      </c>
      <c r="H53" s="316">
        <f>SUM(H39:H52)</f>
        <v>108321.64846416382</v>
      </c>
      <c r="I53" s="232">
        <f>SUM(I39:I52)</f>
        <v>1110161</v>
      </c>
      <c r="J53" s="232">
        <f>SUM(J39:J52)</f>
        <v>1070557</v>
      </c>
      <c r="K53" s="232">
        <f>SUM(K39:K52)</f>
        <v>620283</v>
      </c>
      <c r="L53" s="233">
        <f t="shared" ref="L53" si="12">IF(K53=0,"NA",H53/K53)</f>
        <v>0.1746326248892261</v>
      </c>
      <c r="M53" s="265">
        <f t="shared" si="7"/>
        <v>1886212.1</v>
      </c>
      <c r="N53" s="257">
        <f>SUM(N39:N52)</f>
        <v>714963.38</v>
      </c>
      <c r="O53" s="257">
        <f>SUM(O39:O52)</f>
        <v>1171248.72</v>
      </c>
      <c r="P53" s="257">
        <f>SUM(P39:P52)</f>
        <v>20827629</v>
      </c>
      <c r="Q53" s="257">
        <f>SUM(Q39:Q52)</f>
        <v>13488920.237536291</v>
      </c>
      <c r="R53" s="266" t="str">
        <f>IF(Q18=0,"NA",(M53/Q18))</f>
        <v>NA</v>
      </c>
      <c r="S53" s="265">
        <f t="shared" si="3"/>
        <v>287353.14</v>
      </c>
      <c r="T53" s="257">
        <f>SUM(T39:T52)</f>
        <v>177998.22999999998</v>
      </c>
      <c r="U53" s="257">
        <f>SUM(U39:U52)</f>
        <v>109354.91</v>
      </c>
      <c r="V53" s="257">
        <f>SUM(V39:V52)</f>
        <v>2798089</v>
      </c>
      <c r="W53" s="249">
        <f>SUM(W39:W52)</f>
        <v>1458410.9927999526</v>
      </c>
      <c r="X53" s="12">
        <f t="shared" si="9"/>
        <v>0.19703166077233189</v>
      </c>
    </row>
    <row r="54" spans="2:24" s="92" customFormat="1" ht="15.6" customHeight="1">
      <c r="B54" s="308" t="s">
        <v>51</v>
      </c>
      <c r="C54" s="294"/>
      <c r="D54" s="236"/>
      <c r="E54" s="236"/>
      <c r="F54" s="236"/>
      <c r="G54" s="295"/>
      <c r="H54" s="238"/>
      <c r="I54" s="238"/>
      <c r="J54" s="236"/>
      <c r="K54" s="236"/>
      <c r="L54" s="237"/>
      <c r="M54" s="271">
        <f t="shared" si="7"/>
        <v>0</v>
      </c>
      <c r="N54" s="134"/>
      <c r="O54" s="134"/>
      <c r="P54" s="134"/>
      <c r="Q54" s="134"/>
      <c r="R54" s="272"/>
      <c r="S54" s="274">
        <f t="shared" si="3"/>
        <v>0</v>
      </c>
      <c r="T54" s="275"/>
      <c r="U54" s="275"/>
      <c r="V54" s="275"/>
      <c r="W54" s="256"/>
      <c r="X54" s="107"/>
    </row>
    <row r="55" spans="2:24" s="94" customFormat="1">
      <c r="B55" s="305" t="s">
        <v>52</v>
      </c>
      <c r="C55" s="289">
        <v>0</v>
      </c>
      <c r="D55" s="157">
        <v>0</v>
      </c>
      <c r="E55" s="157">
        <v>0</v>
      </c>
      <c r="F55" s="154">
        <v>172</v>
      </c>
      <c r="G55" s="296">
        <f t="shared" ref="G55" si="13">IF(F55=0,"NA",C55/F55)</f>
        <v>0</v>
      </c>
      <c r="H55" s="243">
        <v>0</v>
      </c>
      <c r="I55" s="157">
        <v>0</v>
      </c>
      <c r="J55" s="157">
        <v>0</v>
      </c>
      <c r="K55" s="154">
        <v>0</v>
      </c>
      <c r="L55" s="239" t="str">
        <f t="shared" ref="L55" si="14">IF(K55=0,"NA",H55/K55)</f>
        <v>NA</v>
      </c>
      <c r="M55" s="263">
        <f t="shared" ref="M55" si="15">SUM(N55:O55)</f>
        <v>1519.5</v>
      </c>
      <c r="N55" s="264">
        <v>0</v>
      </c>
      <c r="O55" s="264">
        <v>1519.5</v>
      </c>
      <c r="P55" s="247">
        <v>0</v>
      </c>
      <c r="Q55" s="264">
        <v>270616.371524302</v>
      </c>
      <c r="R55" s="241">
        <f t="shared" ref="R55" si="16">IF(Q55=0,"NA",(M55/Q55))</f>
        <v>5.6149596250999372E-3</v>
      </c>
      <c r="S55" s="263">
        <f t="shared" ref="S55" si="17">SUM(T55:U55)</f>
        <v>0</v>
      </c>
      <c r="T55" s="264">
        <v>0</v>
      </c>
      <c r="U55" s="264">
        <v>0</v>
      </c>
      <c r="V55" s="247">
        <v>0</v>
      </c>
      <c r="W55" s="252">
        <v>0</v>
      </c>
      <c r="X55" s="95" t="str">
        <f t="shared" ref="X55" si="18">IF(W55=0,"NA",(S55/W55))</f>
        <v>NA</v>
      </c>
    </row>
    <row r="56" spans="2:24" s="94" customFormat="1">
      <c r="B56" s="305" t="s">
        <v>53</v>
      </c>
      <c r="C56" s="289">
        <v>93.643000000000001</v>
      </c>
      <c r="D56" s="157">
        <v>2528.5</v>
      </c>
      <c r="E56" s="157">
        <v>2528.5</v>
      </c>
      <c r="F56" s="154">
        <v>1388</v>
      </c>
      <c r="G56" s="296">
        <f t="shared" si="0"/>
        <v>6.7466138328530253E-2</v>
      </c>
      <c r="H56" s="243">
        <v>5907.1843003412969</v>
      </c>
      <c r="I56" s="157">
        <v>240569</v>
      </c>
      <c r="J56" s="157">
        <v>244448</v>
      </c>
      <c r="K56" s="154">
        <v>125138</v>
      </c>
      <c r="L56" s="239">
        <f t="shared" si="1"/>
        <v>4.7205359685637431E-2</v>
      </c>
      <c r="M56" s="263">
        <f t="shared" si="7"/>
        <v>399497.04</v>
      </c>
      <c r="N56" s="264">
        <v>106691.42</v>
      </c>
      <c r="O56" s="264">
        <v>292805.62</v>
      </c>
      <c r="P56" s="247">
        <v>3580270</v>
      </c>
      <c r="Q56" s="264">
        <v>4063071.2375098304</v>
      </c>
      <c r="R56" s="241">
        <f t="shared" si="8"/>
        <v>9.8323907371322183E-2</v>
      </c>
      <c r="S56" s="263">
        <f t="shared" si="3"/>
        <v>83594.850000000006</v>
      </c>
      <c r="T56" s="264">
        <v>43666.81</v>
      </c>
      <c r="U56" s="264">
        <v>39928.04</v>
      </c>
      <c r="V56" s="247">
        <v>2041792</v>
      </c>
      <c r="W56" s="252">
        <v>1803313.8456092537</v>
      </c>
      <c r="X56" s="95">
        <f t="shared" si="9"/>
        <v>4.6356240320307246E-2</v>
      </c>
    </row>
    <row r="57" spans="2:24" s="94" customFormat="1">
      <c r="B57" s="305" t="s">
        <v>54</v>
      </c>
      <c r="C57" s="289">
        <v>752</v>
      </c>
      <c r="D57" s="157">
        <v>9276.81</v>
      </c>
      <c r="E57" s="157">
        <v>9276.81</v>
      </c>
      <c r="F57" s="154">
        <v>4495</v>
      </c>
      <c r="G57" s="296">
        <f t="shared" si="0"/>
        <v>0.16729699666295883</v>
      </c>
      <c r="H57" s="243">
        <v>70201.372013651882</v>
      </c>
      <c r="I57" s="157">
        <v>399533</v>
      </c>
      <c r="J57" s="157">
        <v>588427</v>
      </c>
      <c r="K57" s="154">
        <v>255611</v>
      </c>
      <c r="L57" s="239">
        <f t="shared" si="1"/>
        <v>0.2746414356723767</v>
      </c>
      <c r="M57" s="263">
        <f t="shared" si="7"/>
        <v>4874592.51</v>
      </c>
      <c r="N57" s="264">
        <v>2606046.4700000002</v>
      </c>
      <c r="O57" s="264">
        <v>2268546.04</v>
      </c>
      <c r="P57" s="247">
        <v>12779775</v>
      </c>
      <c r="Q57" s="264">
        <v>20009649.533417691</v>
      </c>
      <c r="R57" s="241">
        <f t="shared" si="8"/>
        <v>0.24361208835062534</v>
      </c>
      <c r="S57" s="263">
        <f t="shared" si="3"/>
        <v>807836.16000000003</v>
      </c>
      <c r="T57" s="264">
        <v>432862.68000000005</v>
      </c>
      <c r="U57" s="264">
        <v>374973.48</v>
      </c>
      <c r="V57" s="247">
        <v>3429617</v>
      </c>
      <c r="W57" s="252">
        <v>2944644</v>
      </c>
      <c r="X57" s="95">
        <f t="shared" si="9"/>
        <v>0.2743408575026387</v>
      </c>
    </row>
    <row r="58" spans="2:24" s="94" customFormat="1">
      <c r="B58" s="305" t="s">
        <v>55</v>
      </c>
      <c r="C58" s="289">
        <v>0</v>
      </c>
      <c r="D58" s="157">
        <v>0</v>
      </c>
      <c r="E58" s="157">
        <v>0</v>
      </c>
      <c r="F58" s="154">
        <v>100</v>
      </c>
      <c r="G58" s="296">
        <f t="shared" si="0"/>
        <v>0</v>
      </c>
      <c r="H58" s="243">
        <v>0</v>
      </c>
      <c r="I58" s="157">
        <v>0</v>
      </c>
      <c r="J58" s="157">
        <v>0</v>
      </c>
      <c r="K58" s="154">
        <v>0</v>
      </c>
      <c r="L58" s="239" t="str">
        <f t="shared" si="1"/>
        <v>NA</v>
      </c>
      <c r="M58" s="263">
        <f t="shared" si="7"/>
        <v>49468.98</v>
      </c>
      <c r="N58" s="264">
        <v>0</v>
      </c>
      <c r="O58" s="264">
        <v>49468.98</v>
      </c>
      <c r="P58" s="247">
        <v>0</v>
      </c>
      <c r="Q58" s="264">
        <v>356432.60690134473</v>
      </c>
      <c r="R58" s="241">
        <f t="shared" si="8"/>
        <v>0.13878915408458206</v>
      </c>
      <c r="S58" s="263">
        <f t="shared" si="3"/>
        <v>0</v>
      </c>
      <c r="T58" s="264">
        <v>0</v>
      </c>
      <c r="U58" s="264">
        <v>0</v>
      </c>
      <c r="V58" s="247">
        <v>0</v>
      </c>
      <c r="W58" s="252">
        <v>0</v>
      </c>
      <c r="X58" s="95" t="str">
        <f t="shared" si="9"/>
        <v>NA</v>
      </c>
    </row>
    <row r="59" spans="2:24" s="94" customFormat="1">
      <c r="B59" s="305" t="s">
        <v>56</v>
      </c>
      <c r="C59" s="289">
        <v>1104</v>
      </c>
      <c r="D59" s="157">
        <v>7804.45</v>
      </c>
      <c r="E59" s="157">
        <v>7804.45</v>
      </c>
      <c r="F59" s="154">
        <v>8219</v>
      </c>
      <c r="G59" s="296">
        <f t="shared" si="0"/>
        <v>0.13432291032972382</v>
      </c>
      <c r="H59" s="243">
        <v>13716</v>
      </c>
      <c r="I59" s="157">
        <v>32208</v>
      </c>
      <c r="J59" s="157">
        <v>35652</v>
      </c>
      <c r="K59" s="154">
        <v>100092</v>
      </c>
      <c r="L59" s="239">
        <f t="shared" si="1"/>
        <v>0.13703392878551732</v>
      </c>
      <c r="M59" s="263">
        <f t="shared" si="7"/>
        <v>1758429.76</v>
      </c>
      <c r="N59" s="264">
        <v>1064357.77</v>
      </c>
      <c r="O59" s="264">
        <v>694071.99</v>
      </c>
      <c r="P59" s="247">
        <v>6656127</v>
      </c>
      <c r="Q59" s="264">
        <v>7781308.111190577</v>
      </c>
      <c r="R59" s="241">
        <f t="shared" si="8"/>
        <v>0.22598125339249056</v>
      </c>
      <c r="S59" s="263">
        <f t="shared" si="3"/>
        <v>148852.28</v>
      </c>
      <c r="T59" s="264">
        <v>25048.1</v>
      </c>
      <c r="U59" s="264">
        <v>123804.18</v>
      </c>
      <c r="V59" s="247">
        <v>630990</v>
      </c>
      <c r="W59" s="252">
        <v>705890.74532205763</v>
      </c>
      <c r="X59" s="95">
        <f t="shared" si="9"/>
        <v>0.21087155623790932</v>
      </c>
    </row>
    <row r="60" spans="2:24" s="94" customFormat="1">
      <c r="B60" s="305" t="s">
        <v>57</v>
      </c>
      <c r="C60" s="289">
        <v>0</v>
      </c>
      <c r="D60" s="157">
        <v>0</v>
      </c>
      <c r="E60" s="157">
        <v>0</v>
      </c>
      <c r="F60" s="154">
        <v>0</v>
      </c>
      <c r="G60" s="296" t="str">
        <f t="shared" si="0"/>
        <v>NA</v>
      </c>
      <c r="H60" s="243">
        <v>0</v>
      </c>
      <c r="I60" s="157">
        <v>0</v>
      </c>
      <c r="J60" s="157">
        <v>0</v>
      </c>
      <c r="K60" s="154">
        <v>0</v>
      </c>
      <c r="L60" s="239" t="str">
        <f t="shared" si="1"/>
        <v>NA</v>
      </c>
      <c r="M60" s="263">
        <f t="shared" si="7"/>
        <v>0</v>
      </c>
      <c r="N60" s="264">
        <v>0</v>
      </c>
      <c r="O60" s="264">
        <v>0</v>
      </c>
      <c r="P60" s="247">
        <v>0</v>
      </c>
      <c r="Q60" s="264">
        <v>0</v>
      </c>
      <c r="R60" s="241" t="str">
        <f t="shared" si="8"/>
        <v>NA</v>
      </c>
      <c r="S60" s="263">
        <f t="shared" si="3"/>
        <v>0</v>
      </c>
      <c r="T60" s="264">
        <v>0</v>
      </c>
      <c r="U60" s="264">
        <v>0</v>
      </c>
      <c r="V60" s="247">
        <v>0</v>
      </c>
      <c r="W60" s="252">
        <v>0</v>
      </c>
      <c r="X60" s="95" t="str">
        <f t="shared" si="9"/>
        <v>NA</v>
      </c>
    </row>
    <row r="61" spans="2:24" s="94" customFormat="1">
      <c r="B61" s="305" t="s">
        <v>58</v>
      </c>
      <c r="C61" s="289">
        <v>10013.047</v>
      </c>
      <c r="D61" s="157">
        <v>55693.9</v>
      </c>
      <c r="E61" s="157">
        <v>55693.9</v>
      </c>
      <c r="F61" s="154">
        <v>83878</v>
      </c>
      <c r="G61" s="296">
        <f t="shared" si="0"/>
        <v>0.11937632037006128</v>
      </c>
      <c r="H61" s="243">
        <v>39671.310580204779</v>
      </c>
      <c r="I61" s="157">
        <v>207946</v>
      </c>
      <c r="J61" s="157">
        <v>231272</v>
      </c>
      <c r="K61" s="154">
        <f>122174+13792</f>
        <v>135966</v>
      </c>
      <c r="L61" s="239">
        <f t="shared" si="1"/>
        <v>0.29177375652887322</v>
      </c>
      <c r="M61" s="263">
        <f t="shared" si="7"/>
        <v>1061542.9500000002</v>
      </c>
      <c r="N61" s="264">
        <v>566022.95000000007</v>
      </c>
      <c r="O61" s="264">
        <v>495520</v>
      </c>
      <c r="P61" s="247">
        <v>2651579</v>
      </c>
      <c r="Q61" s="264">
        <v>7884462.1520339604</v>
      </c>
      <c r="R61" s="241">
        <f>IF(Q61=0,"NA",(M61/Q61))</f>
        <v>0.13463733220231811</v>
      </c>
      <c r="S61" s="263">
        <f t="shared" si="3"/>
        <v>69176.91</v>
      </c>
      <c r="T61" s="264">
        <v>45281.96</v>
      </c>
      <c r="U61" s="264">
        <v>23894.949999999997</v>
      </c>
      <c r="V61" s="247">
        <v>638133</v>
      </c>
      <c r="W61" s="252">
        <v>406087.32291514997</v>
      </c>
      <c r="X61" s="95">
        <f t="shared" si="9"/>
        <v>0.17034983880660118</v>
      </c>
    </row>
    <row r="62" spans="2:24" s="94" customFormat="1">
      <c r="B62" s="305" t="s">
        <v>59</v>
      </c>
      <c r="C62" s="289">
        <v>91</v>
      </c>
      <c r="D62" s="157">
        <v>1200.3399999999999</v>
      </c>
      <c r="E62" s="157">
        <v>1200.3399999999999</v>
      </c>
      <c r="F62" s="154">
        <v>1628</v>
      </c>
      <c r="G62" s="296">
        <f t="shared" si="0"/>
        <v>5.5896805896805894E-2</v>
      </c>
      <c r="H62" s="243">
        <v>2372</v>
      </c>
      <c r="I62" s="157">
        <v>33719.125496570567</v>
      </c>
      <c r="J62" s="157">
        <v>31207</v>
      </c>
      <c r="K62" s="154">
        <v>66690</v>
      </c>
      <c r="L62" s="239">
        <f t="shared" si="1"/>
        <v>3.5567551357025044E-2</v>
      </c>
      <c r="M62" s="263">
        <f t="shared" si="7"/>
        <v>94505.35</v>
      </c>
      <c r="N62" s="264">
        <v>24776.46</v>
      </c>
      <c r="O62" s="264">
        <v>69728.89</v>
      </c>
      <c r="P62" s="247">
        <v>605206</v>
      </c>
      <c r="Q62" s="264">
        <v>504761.30361944169</v>
      </c>
      <c r="R62" s="241">
        <f t="shared" si="8"/>
        <v>0.18722780316624885</v>
      </c>
      <c r="S62" s="263">
        <f t="shared" si="3"/>
        <v>18323.330000000002</v>
      </c>
      <c r="T62" s="264">
        <v>8607.5400000000009</v>
      </c>
      <c r="U62" s="264">
        <v>9715.7900000000009</v>
      </c>
      <c r="V62" s="247">
        <v>59927</v>
      </c>
      <c r="W62" s="252">
        <v>119142.6375196014</v>
      </c>
      <c r="X62" s="95">
        <f t="shared" si="9"/>
        <v>0.15379322114625371</v>
      </c>
    </row>
    <row r="63" spans="2:24" s="94" customFormat="1">
      <c r="B63" s="305" t="s">
        <v>60</v>
      </c>
      <c r="C63" s="289">
        <v>193.12799999999999</v>
      </c>
      <c r="D63" s="157">
        <v>17185.560000000001</v>
      </c>
      <c r="E63" s="157">
        <v>17185.560000000001</v>
      </c>
      <c r="F63" s="154">
        <v>492</v>
      </c>
      <c r="G63" s="296">
        <f t="shared" si="0"/>
        <v>0.39253658536585362</v>
      </c>
      <c r="H63" s="243">
        <v>16316.679180887371</v>
      </c>
      <c r="I63" s="157">
        <v>108558</v>
      </c>
      <c r="J63" s="157">
        <v>493444</v>
      </c>
      <c r="K63" s="154">
        <v>61240</v>
      </c>
      <c r="L63" s="239">
        <f t="shared" si="1"/>
        <v>0.2664382622613875</v>
      </c>
      <c r="M63" s="263">
        <f t="shared" si="7"/>
        <v>187978.59</v>
      </c>
      <c r="N63" s="264">
        <v>94310.12</v>
      </c>
      <c r="O63" s="264">
        <v>93668.47</v>
      </c>
      <c r="P63" s="247">
        <v>1762272</v>
      </c>
      <c r="Q63" s="264">
        <v>633888.9692062051</v>
      </c>
      <c r="R63" s="241">
        <f t="shared" si="8"/>
        <v>0.29654813245196299</v>
      </c>
      <c r="S63" s="263">
        <f t="shared" si="3"/>
        <v>17180.37</v>
      </c>
      <c r="T63" s="264">
        <v>6686.5599999999995</v>
      </c>
      <c r="U63" s="264">
        <v>10493.81</v>
      </c>
      <c r="V63" s="247">
        <v>137646</v>
      </c>
      <c r="W63" s="252">
        <v>46961.302150756797</v>
      </c>
      <c r="X63" s="95">
        <f t="shared" si="9"/>
        <v>0.36584100553359827</v>
      </c>
    </row>
    <row r="64" spans="2:24" s="94" customFormat="1">
      <c r="B64" s="305" t="s">
        <v>61</v>
      </c>
      <c r="C64" s="289">
        <v>0</v>
      </c>
      <c r="D64" s="157">
        <v>2537.59</v>
      </c>
      <c r="E64" s="157">
        <v>2537.59</v>
      </c>
      <c r="F64" s="154">
        <v>807</v>
      </c>
      <c r="G64" s="296">
        <f t="shared" si="0"/>
        <v>0</v>
      </c>
      <c r="H64" s="243">
        <v>0</v>
      </c>
      <c r="I64" s="157">
        <v>0</v>
      </c>
      <c r="J64" s="157">
        <v>0</v>
      </c>
      <c r="K64" s="154">
        <v>0</v>
      </c>
      <c r="L64" s="239" t="str">
        <f t="shared" si="1"/>
        <v>NA</v>
      </c>
      <c r="M64" s="263">
        <f t="shared" si="7"/>
        <v>104448.04000000001</v>
      </c>
      <c r="N64" s="264">
        <v>68.460000000000008</v>
      </c>
      <c r="O64" s="264">
        <v>104379.58</v>
      </c>
      <c r="P64" s="247">
        <v>3542558</v>
      </c>
      <c r="Q64" s="264">
        <v>1570565.2070907981</v>
      </c>
      <c r="R64" s="241">
        <f t="shared" si="8"/>
        <v>6.650347246229403E-2</v>
      </c>
      <c r="S64" s="263">
        <f t="shared" si="3"/>
        <v>0</v>
      </c>
      <c r="T64" s="264">
        <v>0</v>
      </c>
      <c r="U64" s="264">
        <v>0</v>
      </c>
      <c r="V64" s="247">
        <v>0</v>
      </c>
      <c r="W64" s="252">
        <v>0</v>
      </c>
      <c r="X64" s="95" t="str">
        <f t="shared" si="9"/>
        <v>NA</v>
      </c>
    </row>
    <row r="65" spans="2:24" s="94" customFormat="1">
      <c r="B65" s="305" t="s">
        <v>62</v>
      </c>
      <c r="C65" s="289">
        <v>107</v>
      </c>
      <c r="D65" s="157">
        <v>996.34</v>
      </c>
      <c r="E65" s="157">
        <v>996.34</v>
      </c>
      <c r="F65" s="154">
        <v>413</v>
      </c>
      <c r="G65" s="296">
        <f t="shared" si="0"/>
        <v>0.25907990314769974</v>
      </c>
      <c r="H65" s="243">
        <v>2620.3276450511944</v>
      </c>
      <c r="I65" s="157">
        <v>44435</v>
      </c>
      <c r="J65" s="157">
        <v>44435</v>
      </c>
      <c r="K65" s="154">
        <v>55497</v>
      </c>
      <c r="L65" s="239">
        <f t="shared" si="1"/>
        <v>4.7215662919638801E-2</v>
      </c>
      <c r="M65" s="263">
        <f t="shared" si="7"/>
        <v>359975.69999999995</v>
      </c>
      <c r="N65" s="264">
        <v>104261.25999999998</v>
      </c>
      <c r="O65" s="264">
        <v>255714.44</v>
      </c>
      <c r="P65" s="247">
        <v>1089673</v>
      </c>
      <c r="Q65" s="264">
        <v>1894008.3469352652</v>
      </c>
      <c r="R65" s="241">
        <f t="shared" si="8"/>
        <v>0.19006025004191993</v>
      </c>
      <c r="S65" s="263">
        <f t="shared" si="3"/>
        <v>53790.270000000004</v>
      </c>
      <c r="T65" s="264">
        <v>18171.620000000003</v>
      </c>
      <c r="U65" s="264">
        <v>35618.65</v>
      </c>
      <c r="V65" s="247">
        <v>157274</v>
      </c>
      <c r="W65" s="252">
        <v>373052.22060310259</v>
      </c>
      <c r="X65" s="95">
        <f t="shared" si="9"/>
        <v>0.14418965235762127</v>
      </c>
    </row>
    <row r="66" spans="2:24" s="94" customFormat="1">
      <c r="B66" s="305" t="s">
        <v>63</v>
      </c>
      <c r="C66" s="289">
        <v>1.782</v>
      </c>
      <c r="D66" s="157">
        <v>0</v>
      </c>
      <c r="E66" s="157">
        <v>0</v>
      </c>
      <c r="F66" s="154">
        <v>130</v>
      </c>
      <c r="G66" s="296">
        <f t="shared" si="0"/>
        <v>1.3707692307692308E-2</v>
      </c>
      <c r="H66" s="243">
        <v>143.95904436860067</v>
      </c>
      <c r="I66" s="157">
        <v>0</v>
      </c>
      <c r="J66" s="157">
        <v>0</v>
      </c>
      <c r="K66" s="154">
        <v>16533</v>
      </c>
      <c r="L66" s="239">
        <f t="shared" si="1"/>
        <v>8.7073758161616572E-3</v>
      </c>
      <c r="M66" s="263">
        <f t="shared" si="7"/>
        <v>188516.38</v>
      </c>
      <c r="N66" s="264">
        <v>32551.35</v>
      </c>
      <c r="O66" s="264">
        <v>155965.03</v>
      </c>
      <c r="P66" s="247">
        <v>0</v>
      </c>
      <c r="Q66" s="264">
        <v>1052654.5772972081</v>
      </c>
      <c r="R66" s="241">
        <f t="shared" si="8"/>
        <v>0.1790866482374816</v>
      </c>
      <c r="S66" s="263">
        <f t="shared" si="3"/>
        <v>21201.14</v>
      </c>
      <c r="T66" s="264">
        <v>762</v>
      </c>
      <c r="U66" s="264">
        <v>20439.14</v>
      </c>
      <c r="V66" s="247">
        <v>0</v>
      </c>
      <c r="W66" s="252">
        <v>63582.148800000003</v>
      </c>
      <c r="X66" s="95">
        <f t="shared" si="9"/>
        <v>0.33344484891017079</v>
      </c>
    </row>
    <row r="67" spans="2:24" s="94" customFormat="1">
      <c r="B67" s="305"/>
      <c r="C67" s="289"/>
      <c r="D67" s="154"/>
      <c r="E67" s="154"/>
      <c r="F67" s="154"/>
      <c r="G67" s="296"/>
      <c r="H67" s="243"/>
      <c r="I67" s="154"/>
      <c r="J67" s="154"/>
      <c r="K67" s="154"/>
      <c r="L67" s="239"/>
      <c r="M67" s="263"/>
      <c r="N67" s="264"/>
      <c r="O67" s="264"/>
      <c r="P67" s="264"/>
      <c r="Q67" s="264"/>
      <c r="R67" s="241"/>
      <c r="S67" s="263"/>
      <c r="T67" s="264"/>
      <c r="U67" s="264"/>
      <c r="V67" s="264"/>
      <c r="W67" s="252"/>
      <c r="X67" s="95"/>
    </row>
    <row r="68" spans="2:24" s="92" customFormat="1" ht="15.75" customHeight="1">
      <c r="B68" s="306" t="s">
        <v>64</v>
      </c>
      <c r="C68" s="290">
        <f>SUM(C55:C67)</f>
        <v>12355.6</v>
      </c>
      <c r="D68" s="232">
        <f>SUM(D55:D67)</f>
        <v>97223.489999999991</v>
      </c>
      <c r="E68" s="232">
        <f t="shared" ref="E68:F68" si="19">SUM(E55:E67)</f>
        <v>97223.489999999991</v>
      </c>
      <c r="F68" s="232">
        <f t="shared" si="19"/>
        <v>101722</v>
      </c>
      <c r="G68" s="291">
        <f t="shared" si="0"/>
        <v>0.12146438331924264</v>
      </c>
      <c r="H68" s="316">
        <f>SUM(H55:H67)</f>
        <v>150948.83276450512</v>
      </c>
      <c r="I68" s="232">
        <f>SUM(I55:I67)</f>
        <v>1066968.1254965705</v>
      </c>
      <c r="J68" s="232">
        <f t="shared" ref="J68:K68" si="20">SUM(J55:J67)</f>
        <v>1668885</v>
      </c>
      <c r="K68" s="232">
        <f t="shared" si="20"/>
        <v>816767</v>
      </c>
      <c r="L68" s="233">
        <f t="shared" ref="L68" si="21">IF(K68=0,"NA",H68/K68)</f>
        <v>0.18481259987793963</v>
      </c>
      <c r="M68" s="265">
        <f>SUM(N68:O68)</f>
        <v>9080474.8000000007</v>
      </c>
      <c r="N68" s="257">
        <f>SUM(N55:N67)</f>
        <v>4599086.26</v>
      </c>
      <c r="O68" s="257">
        <f t="shared" ref="O68:Q68" si="22">SUM(O55:O67)</f>
        <v>4481388.540000001</v>
      </c>
      <c r="P68" s="257">
        <f t="shared" si="22"/>
        <v>32667460</v>
      </c>
      <c r="Q68" s="257">
        <f t="shared" si="22"/>
        <v>46021418.416726626</v>
      </c>
      <c r="R68" s="266">
        <f t="shared" si="8"/>
        <v>0.19730975516173299</v>
      </c>
      <c r="S68" s="265">
        <f t="shared" si="3"/>
        <v>1219955.31</v>
      </c>
      <c r="T68" s="257">
        <f>SUM(T55:T67)</f>
        <v>581087.27000000014</v>
      </c>
      <c r="U68" s="257">
        <f t="shared" ref="U68:W68" si="23">SUM(U55:U67)</f>
        <v>638868.04</v>
      </c>
      <c r="V68" s="257">
        <f t="shared" si="23"/>
        <v>7095379</v>
      </c>
      <c r="W68" s="249">
        <f t="shared" si="23"/>
        <v>6462674.2229199223</v>
      </c>
      <c r="X68" s="12">
        <f t="shared" si="9"/>
        <v>0.18876942700800536</v>
      </c>
    </row>
    <row r="69" spans="2:24" s="92" customFormat="1" ht="15.6" customHeight="1">
      <c r="B69" s="308" t="s">
        <v>65</v>
      </c>
      <c r="C69" s="294"/>
      <c r="D69" s="236"/>
      <c r="E69" s="236"/>
      <c r="F69" s="236"/>
      <c r="G69" s="295"/>
      <c r="H69" s="238"/>
      <c r="I69" s="238"/>
      <c r="J69" s="236"/>
      <c r="K69" s="236"/>
      <c r="L69" s="237"/>
      <c r="M69" s="271"/>
      <c r="N69" s="134"/>
      <c r="O69" s="134"/>
      <c r="P69" s="134"/>
      <c r="Q69" s="134"/>
      <c r="R69" s="272"/>
      <c r="S69" s="274"/>
      <c r="T69" s="275"/>
      <c r="U69" s="275"/>
      <c r="V69" s="275"/>
      <c r="W69" s="256"/>
      <c r="X69" s="107"/>
    </row>
    <row r="70" spans="2:24" s="97" customFormat="1">
      <c r="B70" s="309" t="s">
        <v>66</v>
      </c>
      <c r="C70" s="297">
        <v>10219</v>
      </c>
      <c r="D70" s="240">
        <f>D26</f>
        <v>20418</v>
      </c>
      <c r="E70" s="240">
        <f t="shared" ref="E70:E81" si="24">D70</f>
        <v>20418</v>
      </c>
      <c r="F70" s="240">
        <f>F26</f>
        <v>21777</v>
      </c>
      <c r="G70" s="296">
        <f t="shared" ref="G70:P70" si="25">G26</f>
        <v>0.4692565550810488</v>
      </c>
      <c r="H70" s="318">
        <v>0</v>
      </c>
      <c r="I70" s="240">
        <f t="shared" si="25"/>
        <v>0</v>
      </c>
      <c r="J70" s="240">
        <f t="shared" si="25"/>
        <v>0</v>
      </c>
      <c r="K70" s="240">
        <f t="shared" si="25"/>
        <v>0</v>
      </c>
      <c r="L70" s="239" t="str">
        <f t="shared" si="25"/>
        <v>NA</v>
      </c>
      <c r="M70" s="276">
        <f t="shared" si="25"/>
        <v>1573303.3599999999</v>
      </c>
      <c r="N70" s="277">
        <f t="shared" si="25"/>
        <v>1140303</v>
      </c>
      <c r="O70" s="277">
        <f t="shared" si="25"/>
        <v>433000.36</v>
      </c>
      <c r="P70" s="277">
        <f t="shared" si="25"/>
        <v>3185272</v>
      </c>
      <c r="Q70" s="277">
        <f>Q36</f>
        <v>36969493.939399496</v>
      </c>
      <c r="R70" s="241">
        <f t="shared" ref="R70:X71" si="26">R26</f>
        <v>0.3727825233174959</v>
      </c>
      <c r="S70" s="276">
        <f t="shared" si="26"/>
        <v>0</v>
      </c>
      <c r="T70" s="277">
        <f t="shared" si="26"/>
        <v>0</v>
      </c>
      <c r="U70" s="277">
        <f t="shared" si="26"/>
        <v>0</v>
      </c>
      <c r="V70" s="277">
        <f t="shared" si="26"/>
        <v>0</v>
      </c>
      <c r="W70" s="253">
        <f t="shared" si="26"/>
        <v>0</v>
      </c>
      <c r="X70" s="96" t="str">
        <f t="shared" si="26"/>
        <v>NA</v>
      </c>
    </row>
    <row r="71" spans="2:24" s="97" customFormat="1">
      <c r="B71" s="309" t="s">
        <v>67</v>
      </c>
      <c r="C71" s="297">
        <v>45</v>
      </c>
      <c r="D71" s="240">
        <f>D27</f>
        <v>1340</v>
      </c>
      <c r="E71" s="240">
        <f t="shared" si="24"/>
        <v>1340</v>
      </c>
      <c r="F71" s="240">
        <f>F27</f>
        <v>109</v>
      </c>
      <c r="G71" s="296">
        <f t="shared" ref="G71:P71" si="27">G27</f>
        <v>0.41284403669724773</v>
      </c>
      <c r="H71" s="318">
        <v>849</v>
      </c>
      <c r="I71" s="240">
        <f t="shared" si="27"/>
        <v>21261</v>
      </c>
      <c r="J71" s="240">
        <f t="shared" si="27"/>
        <v>24852</v>
      </c>
      <c r="K71" s="240">
        <f t="shared" si="27"/>
        <v>15910</v>
      </c>
      <c r="L71" s="239">
        <f t="shared" si="27"/>
        <v>5.3362664990571969E-2</v>
      </c>
      <c r="M71" s="276">
        <f t="shared" si="27"/>
        <v>42968.56</v>
      </c>
      <c r="N71" s="277">
        <f t="shared" si="27"/>
        <v>29285</v>
      </c>
      <c r="O71" s="277">
        <f t="shared" si="27"/>
        <v>13683.56</v>
      </c>
      <c r="P71" s="277">
        <f t="shared" si="27"/>
        <v>3030278</v>
      </c>
      <c r="Q71" s="277">
        <f>Q37</f>
        <v>8730042</v>
      </c>
      <c r="R71" s="241">
        <f t="shared" si="26"/>
        <v>0.3072332837456993</v>
      </c>
      <c r="S71" s="276">
        <f t="shared" si="26"/>
        <v>3303.49</v>
      </c>
      <c r="T71" s="277">
        <f t="shared" si="26"/>
        <v>665</v>
      </c>
      <c r="U71" s="277">
        <f t="shared" si="26"/>
        <v>2638.49</v>
      </c>
      <c r="V71" s="277">
        <f t="shared" si="26"/>
        <v>190525</v>
      </c>
      <c r="W71" s="253">
        <f t="shared" si="26"/>
        <v>22436.294367413087</v>
      </c>
      <c r="X71" s="96">
        <f t="shared" si="26"/>
        <v>0.14723866365374727</v>
      </c>
    </row>
    <row r="72" spans="2:24" s="97" customFormat="1">
      <c r="B72" s="309" t="s">
        <v>68</v>
      </c>
      <c r="C72" s="297">
        <v>691</v>
      </c>
      <c r="D72" s="240">
        <f>D40</f>
        <v>6378.53</v>
      </c>
      <c r="E72" s="240">
        <f t="shared" si="24"/>
        <v>6378.53</v>
      </c>
      <c r="F72" s="240">
        <f>F40</f>
        <v>3737</v>
      </c>
      <c r="G72" s="296">
        <f t="shared" ref="G72:X72" si="28">G40</f>
        <v>0.18490767995718491</v>
      </c>
      <c r="H72" s="318">
        <v>5202</v>
      </c>
      <c r="I72" s="240">
        <f t="shared" si="28"/>
        <v>0</v>
      </c>
      <c r="J72" s="240">
        <f t="shared" si="28"/>
        <v>0</v>
      </c>
      <c r="K72" s="240">
        <f t="shared" si="28"/>
        <v>35231</v>
      </c>
      <c r="L72" s="239">
        <f t="shared" si="28"/>
        <v>0.14765405466776418</v>
      </c>
      <c r="M72" s="276">
        <f t="shared" si="28"/>
        <v>757690.3</v>
      </c>
      <c r="N72" s="277">
        <f t="shared" si="28"/>
        <v>416575</v>
      </c>
      <c r="O72" s="277">
        <f t="shared" si="28"/>
        <v>341115.3</v>
      </c>
      <c r="P72" s="277">
        <f t="shared" si="28"/>
        <v>3065162</v>
      </c>
      <c r="Q72" s="277">
        <f t="shared" si="28"/>
        <v>3027250.3067744444</v>
      </c>
      <c r="R72" s="241">
        <f t="shared" si="28"/>
        <v>0.25028994077708894</v>
      </c>
      <c r="S72" s="276">
        <f t="shared" si="28"/>
        <v>15585.07</v>
      </c>
      <c r="T72" s="277">
        <f t="shared" si="28"/>
        <v>8900</v>
      </c>
      <c r="U72" s="277">
        <f t="shared" si="28"/>
        <v>6685.07</v>
      </c>
      <c r="V72" s="277">
        <f t="shared" si="28"/>
        <v>0</v>
      </c>
      <c r="W72" s="253">
        <f t="shared" si="28"/>
        <v>92134.773696327597</v>
      </c>
      <c r="X72" s="96">
        <f t="shared" si="28"/>
        <v>0.16915513410135186</v>
      </c>
    </row>
    <row r="73" spans="2:24" s="97" customFormat="1">
      <c r="B73" s="309" t="str">
        <f>B44</f>
        <v>DDEP - School Kits</v>
      </c>
      <c r="C73" s="297">
        <v>0</v>
      </c>
      <c r="D73" s="240">
        <f>D44</f>
        <v>2318.06</v>
      </c>
      <c r="E73" s="240">
        <f t="shared" si="24"/>
        <v>2318.06</v>
      </c>
      <c r="F73" s="240">
        <f>F44</f>
        <v>6868</v>
      </c>
      <c r="G73" s="296">
        <f t="shared" si="0"/>
        <v>0</v>
      </c>
      <c r="H73" s="318">
        <v>0</v>
      </c>
      <c r="I73" s="240">
        <f>I44</f>
        <v>51962</v>
      </c>
      <c r="J73" s="240">
        <f>J44</f>
        <v>75635</v>
      </c>
      <c r="K73" s="240">
        <f>K44</f>
        <v>223520</v>
      </c>
      <c r="L73" s="239">
        <f t="shared" ref="L73:L78" si="29">IF(K73=0,"NA",H73/K73)</f>
        <v>0</v>
      </c>
      <c r="M73" s="276">
        <f>M44</f>
        <v>76402.89</v>
      </c>
      <c r="N73" s="277">
        <f>N44</f>
        <v>0</v>
      </c>
      <c r="O73" s="277">
        <f>O44</f>
        <v>76402.89</v>
      </c>
      <c r="P73" s="277">
        <f>P44</f>
        <v>870397</v>
      </c>
      <c r="Q73" s="277">
        <f>Q44</f>
        <v>1203888.9560603932</v>
      </c>
      <c r="R73" s="241">
        <f t="shared" si="8"/>
        <v>6.346340301186984E-2</v>
      </c>
      <c r="S73" s="276">
        <f>S44</f>
        <v>10709.11</v>
      </c>
      <c r="T73" s="277">
        <f>T44</f>
        <v>0</v>
      </c>
      <c r="U73" s="277">
        <f>U44</f>
        <v>10709.11</v>
      </c>
      <c r="V73" s="277">
        <f>V44</f>
        <v>117206</v>
      </c>
      <c r="W73" s="253">
        <f>W44</f>
        <v>277943.84675378399</v>
      </c>
      <c r="X73" s="96">
        <f t="shared" ref="X73:X78" si="30">IF(W73=0,"NA",(S73/W73))</f>
        <v>3.8529761047333584E-2</v>
      </c>
    </row>
    <row r="74" spans="2:24" s="97" customFormat="1">
      <c r="B74" s="309" t="str">
        <f t="shared" ref="B74:D75" si="31">B62</f>
        <v>IQ - Community Kits</v>
      </c>
      <c r="C74" s="297">
        <v>91</v>
      </c>
      <c r="D74" s="240">
        <f t="shared" si="31"/>
        <v>1200.3399999999999</v>
      </c>
      <c r="E74" s="240">
        <f t="shared" si="24"/>
        <v>1200.3399999999999</v>
      </c>
      <c r="F74" s="240">
        <f>F62</f>
        <v>1628</v>
      </c>
      <c r="G74" s="296">
        <f t="shared" si="0"/>
        <v>5.5896805896805894E-2</v>
      </c>
      <c r="H74" s="318">
        <v>2372</v>
      </c>
      <c r="I74" s="240">
        <f t="shared" ref="I74:W74" si="32">I62</f>
        <v>33719.125496570567</v>
      </c>
      <c r="J74" s="240">
        <f t="shared" si="32"/>
        <v>31207</v>
      </c>
      <c r="K74" s="240">
        <f t="shared" si="32"/>
        <v>66690</v>
      </c>
      <c r="L74" s="239">
        <f t="shared" si="29"/>
        <v>3.5567551357025044E-2</v>
      </c>
      <c r="M74" s="276">
        <f t="shared" si="32"/>
        <v>94505.35</v>
      </c>
      <c r="N74" s="277">
        <f t="shared" si="32"/>
        <v>24776.46</v>
      </c>
      <c r="O74" s="277">
        <f t="shared" si="32"/>
        <v>69728.89</v>
      </c>
      <c r="P74" s="277">
        <f t="shared" si="32"/>
        <v>605206</v>
      </c>
      <c r="Q74" s="277">
        <f t="shared" si="32"/>
        <v>504761.30361944169</v>
      </c>
      <c r="R74" s="241">
        <f t="shared" si="8"/>
        <v>0.18722780316624885</v>
      </c>
      <c r="S74" s="276">
        <f t="shared" si="32"/>
        <v>18323.330000000002</v>
      </c>
      <c r="T74" s="277">
        <f t="shared" si="32"/>
        <v>8607.5400000000009</v>
      </c>
      <c r="U74" s="277">
        <f t="shared" si="32"/>
        <v>9715.7900000000009</v>
      </c>
      <c r="V74" s="277">
        <f t="shared" si="32"/>
        <v>59927</v>
      </c>
      <c r="W74" s="253">
        <f t="shared" si="32"/>
        <v>119142.6375196014</v>
      </c>
      <c r="X74" s="96">
        <f t="shared" si="30"/>
        <v>0.15379322114625371</v>
      </c>
    </row>
    <row r="75" spans="2:24" s="97" customFormat="1">
      <c r="B75" s="309" t="str">
        <f t="shared" si="31"/>
        <v>IQ - Smart Savers</v>
      </c>
      <c r="C75" s="297">
        <v>193.12799999999999</v>
      </c>
      <c r="D75" s="240">
        <f t="shared" si="31"/>
        <v>17185.560000000001</v>
      </c>
      <c r="E75" s="240">
        <f t="shared" si="24"/>
        <v>17185.560000000001</v>
      </c>
      <c r="F75" s="240">
        <f>F63</f>
        <v>492</v>
      </c>
      <c r="G75" s="296">
        <f t="shared" si="0"/>
        <v>0.39253658536585362</v>
      </c>
      <c r="H75" s="318">
        <v>16316.679180887371</v>
      </c>
      <c r="I75" s="240">
        <f t="shared" ref="I75:W75" si="33">I63</f>
        <v>108558</v>
      </c>
      <c r="J75" s="240">
        <f t="shared" si="33"/>
        <v>493444</v>
      </c>
      <c r="K75" s="240">
        <f t="shared" si="33"/>
        <v>61240</v>
      </c>
      <c r="L75" s="239">
        <f t="shared" si="29"/>
        <v>0.2664382622613875</v>
      </c>
      <c r="M75" s="276">
        <f t="shared" si="33"/>
        <v>187978.59</v>
      </c>
      <c r="N75" s="277">
        <f t="shared" si="33"/>
        <v>94310.12</v>
      </c>
      <c r="O75" s="277">
        <f t="shared" si="33"/>
        <v>93668.47</v>
      </c>
      <c r="P75" s="277">
        <f t="shared" si="33"/>
        <v>1762272</v>
      </c>
      <c r="Q75" s="277">
        <f t="shared" si="33"/>
        <v>633888.9692062051</v>
      </c>
      <c r="R75" s="241">
        <f t="shared" si="8"/>
        <v>0.29654813245196299</v>
      </c>
      <c r="S75" s="276">
        <f t="shared" si="33"/>
        <v>17180.37</v>
      </c>
      <c r="T75" s="277">
        <f t="shared" si="33"/>
        <v>6686.5599999999995</v>
      </c>
      <c r="U75" s="277">
        <f t="shared" si="33"/>
        <v>10493.81</v>
      </c>
      <c r="V75" s="277">
        <f t="shared" si="33"/>
        <v>137646</v>
      </c>
      <c r="W75" s="253">
        <f t="shared" si="33"/>
        <v>46961.302150756797</v>
      </c>
      <c r="X75" s="96">
        <f t="shared" si="30"/>
        <v>0.36584100553359827</v>
      </c>
    </row>
    <row r="76" spans="2:24" s="97" customFormat="1">
      <c r="B76" s="309" t="str">
        <f t="shared" ref="B76:D77" si="34">B65</f>
        <v>IQ - Manufactured Homes</v>
      </c>
      <c r="C76" s="297">
        <v>107</v>
      </c>
      <c r="D76" s="240">
        <f t="shared" si="34"/>
        <v>996.34</v>
      </c>
      <c r="E76" s="240">
        <f t="shared" si="24"/>
        <v>996.34</v>
      </c>
      <c r="F76" s="240">
        <f>F65</f>
        <v>413</v>
      </c>
      <c r="G76" s="296">
        <f t="shared" si="0"/>
        <v>0.25907990314769974</v>
      </c>
      <c r="H76" s="318">
        <v>2620.3276450511944</v>
      </c>
      <c r="I76" s="240">
        <f t="shared" ref="I76:W76" si="35">I65</f>
        <v>44435</v>
      </c>
      <c r="J76" s="240">
        <f t="shared" si="35"/>
        <v>44435</v>
      </c>
      <c r="K76" s="240">
        <f t="shared" si="35"/>
        <v>55497</v>
      </c>
      <c r="L76" s="239">
        <f t="shared" si="29"/>
        <v>4.7215662919638801E-2</v>
      </c>
      <c r="M76" s="276">
        <f t="shared" si="35"/>
        <v>359975.69999999995</v>
      </c>
      <c r="N76" s="277">
        <f t="shared" si="35"/>
        <v>104261.25999999998</v>
      </c>
      <c r="O76" s="277">
        <f t="shared" si="35"/>
        <v>255714.44</v>
      </c>
      <c r="P76" s="277">
        <f t="shared" si="35"/>
        <v>1089673</v>
      </c>
      <c r="Q76" s="277">
        <f t="shared" si="35"/>
        <v>1894008.3469352652</v>
      </c>
      <c r="R76" s="241">
        <f t="shared" si="8"/>
        <v>0.19006025004191993</v>
      </c>
      <c r="S76" s="276">
        <f t="shared" si="35"/>
        <v>53790.270000000004</v>
      </c>
      <c r="T76" s="277">
        <f t="shared" si="35"/>
        <v>18171.620000000003</v>
      </c>
      <c r="U76" s="277">
        <f t="shared" si="35"/>
        <v>35618.65</v>
      </c>
      <c r="V76" s="277">
        <f t="shared" si="35"/>
        <v>157274</v>
      </c>
      <c r="W76" s="253">
        <f t="shared" si="35"/>
        <v>373052.22060310259</v>
      </c>
      <c r="X76" s="96">
        <f t="shared" si="30"/>
        <v>0.14418965235762127</v>
      </c>
    </row>
    <row r="77" spans="2:24" s="97" customFormat="1">
      <c r="B77" s="309" t="str">
        <f t="shared" si="34"/>
        <v>IQ - Healthier Homes</v>
      </c>
      <c r="C77" s="297">
        <v>1.782</v>
      </c>
      <c r="D77" s="240">
        <f t="shared" si="34"/>
        <v>0</v>
      </c>
      <c r="E77" s="240">
        <f t="shared" si="24"/>
        <v>0</v>
      </c>
      <c r="F77" s="240">
        <f>F66</f>
        <v>130</v>
      </c>
      <c r="G77" s="296">
        <f t="shared" si="0"/>
        <v>1.3707692307692308E-2</v>
      </c>
      <c r="H77" s="318">
        <v>143.95904436860067</v>
      </c>
      <c r="I77" s="240">
        <f t="shared" ref="I77:W77" si="36">I66</f>
        <v>0</v>
      </c>
      <c r="J77" s="240">
        <f t="shared" si="36"/>
        <v>0</v>
      </c>
      <c r="K77" s="240">
        <f t="shared" si="36"/>
        <v>16533</v>
      </c>
      <c r="L77" s="239">
        <f t="shared" si="29"/>
        <v>8.7073758161616572E-3</v>
      </c>
      <c r="M77" s="276">
        <f t="shared" si="36"/>
        <v>188516.38</v>
      </c>
      <c r="N77" s="277">
        <f t="shared" si="36"/>
        <v>32551.35</v>
      </c>
      <c r="O77" s="277">
        <f t="shared" si="36"/>
        <v>155965.03</v>
      </c>
      <c r="P77" s="277">
        <f t="shared" si="36"/>
        <v>0</v>
      </c>
      <c r="Q77" s="277">
        <f t="shared" si="36"/>
        <v>1052654.5772972081</v>
      </c>
      <c r="R77" s="241">
        <f t="shared" si="8"/>
        <v>0.1790866482374816</v>
      </c>
      <c r="S77" s="276">
        <f t="shared" si="36"/>
        <v>21201.14</v>
      </c>
      <c r="T77" s="277">
        <f t="shared" si="36"/>
        <v>762</v>
      </c>
      <c r="U77" s="277">
        <f t="shared" si="36"/>
        <v>20439.14</v>
      </c>
      <c r="V77" s="277">
        <f t="shared" si="36"/>
        <v>0</v>
      </c>
      <c r="W77" s="253">
        <f t="shared" si="36"/>
        <v>63582.148800000003</v>
      </c>
      <c r="X77" s="96">
        <f t="shared" si="30"/>
        <v>0.33344484891017079</v>
      </c>
    </row>
    <row r="78" spans="2:24" s="97" customFormat="1">
      <c r="B78" s="309" t="s">
        <v>44</v>
      </c>
      <c r="C78" s="297">
        <v>0</v>
      </c>
      <c r="D78" s="240">
        <f>D45</f>
        <v>0</v>
      </c>
      <c r="E78" s="240">
        <f t="shared" si="24"/>
        <v>0</v>
      </c>
      <c r="F78" s="240">
        <f>F45</f>
        <v>1397</v>
      </c>
      <c r="G78" s="296">
        <f t="shared" si="0"/>
        <v>0</v>
      </c>
      <c r="H78" s="318">
        <v>0</v>
      </c>
      <c r="I78" s="240">
        <f>I45</f>
        <v>0</v>
      </c>
      <c r="J78" s="240">
        <f>J45</f>
        <v>0</v>
      </c>
      <c r="K78" s="240">
        <f>K45</f>
        <v>42755</v>
      </c>
      <c r="L78" s="239">
        <f t="shared" si="29"/>
        <v>0</v>
      </c>
      <c r="M78" s="276">
        <f>M45</f>
        <v>1519.5</v>
      </c>
      <c r="N78" s="277">
        <f>N45</f>
        <v>0</v>
      </c>
      <c r="O78" s="277">
        <f>O45</f>
        <v>1519.5</v>
      </c>
      <c r="P78" s="277">
        <f>P45</f>
        <v>0</v>
      </c>
      <c r="Q78" s="277">
        <f>Q45</f>
        <v>332349.82592430199</v>
      </c>
      <c r="R78" s="241">
        <f t="shared" si="8"/>
        <v>4.5719897574012583E-3</v>
      </c>
      <c r="S78" s="276">
        <f>S45</f>
        <v>373.07</v>
      </c>
      <c r="T78" s="277">
        <f>T45</f>
        <v>0</v>
      </c>
      <c r="U78" s="277">
        <f>U45</f>
        <v>373.07</v>
      </c>
      <c r="V78" s="277">
        <f>V45</f>
        <v>0</v>
      </c>
      <c r="W78" s="253">
        <f>W45</f>
        <v>104869.9895196014</v>
      </c>
      <c r="X78" s="96">
        <f t="shared" si="30"/>
        <v>3.5574524390532998E-3</v>
      </c>
    </row>
    <row r="79" spans="2:24" s="97" customFormat="1">
      <c r="B79" s="310" t="s">
        <v>69</v>
      </c>
      <c r="C79" s="289">
        <v>0</v>
      </c>
      <c r="D79" s="240">
        <v>228</v>
      </c>
      <c r="E79" s="240">
        <f t="shared" si="24"/>
        <v>228</v>
      </c>
      <c r="F79" s="240">
        <v>0</v>
      </c>
      <c r="G79" s="296" t="s">
        <v>70</v>
      </c>
      <c r="H79" s="242">
        <v>0</v>
      </c>
      <c r="I79" s="240">
        <v>640</v>
      </c>
      <c r="J79" s="240">
        <v>640</v>
      </c>
      <c r="K79" s="240">
        <v>0</v>
      </c>
      <c r="L79" s="241" t="s">
        <v>70</v>
      </c>
      <c r="M79" s="278">
        <v>0</v>
      </c>
      <c r="N79" s="277">
        <v>0</v>
      </c>
      <c r="O79" s="277">
        <v>0</v>
      </c>
      <c r="P79" s="277">
        <v>30000</v>
      </c>
      <c r="Q79" s="277">
        <v>0</v>
      </c>
      <c r="R79" s="241" t="str">
        <f t="shared" si="8"/>
        <v>NA</v>
      </c>
      <c r="S79" s="279">
        <v>0</v>
      </c>
      <c r="T79" s="277">
        <v>0</v>
      </c>
      <c r="U79" s="277">
        <v>0</v>
      </c>
      <c r="V79" s="277">
        <v>1046.68</v>
      </c>
      <c r="W79" s="254">
        <v>0</v>
      </c>
      <c r="X79" s="229" t="s">
        <v>70</v>
      </c>
    </row>
    <row r="80" spans="2:24" s="97" customFormat="1">
      <c r="B80" s="305" t="s">
        <v>71</v>
      </c>
      <c r="C80" s="298">
        <v>0</v>
      </c>
      <c r="D80" s="240">
        <v>805</v>
      </c>
      <c r="E80" s="240">
        <f t="shared" si="24"/>
        <v>805</v>
      </c>
      <c r="F80" s="154">
        <v>0</v>
      </c>
      <c r="G80" s="296" t="str">
        <f t="shared" si="0"/>
        <v>NA</v>
      </c>
      <c r="H80" s="243">
        <v>0</v>
      </c>
      <c r="I80" s="240">
        <v>95501</v>
      </c>
      <c r="J80" s="240">
        <v>109027</v>
      </c>
      <c r="K80" s="154">
        <v>0</v>
      </c>
      <c r="L80" s="241" t="str">
        <f t="shared" ref="L80:L81" si="37">IF(K80=0,"NA",H80/K80)</f>
        <v>NA</v>
      </c>
      <c r="M80" s="279">
        <f t="shared" ref="M80:M81" si="38">SUM(N80:O80)</f>
        <v>0</v>
      </c>
      <c r="N80" s="264">
        <v>0</v>
      </c>
      <c r="O80" s="277">
        <v>0</v>
      </c>
      <c r="P80" s="277">
        <v>798766</v>
      </c>
      <c r="Q80" s="264">
        <v>0</v>
      </c>
      <c r="R80" s="241" t="str">
        <f t="shared" si="8"/>
        <v>NA</v>
      </c>
      <c r="S80" s="279">
        <f>SUM(T80:U80)</f>
        <v>0</v>
      </c>
      <c r="T80" s="264">
        <v>0</v>
      </c>
      <c r="U80" s="264">
        <v>0</v>
      </c>
      <c r="V80" s="277">
        <v>134772</v>
      </c>
      <c r="W80" s="252">
        <v>0</v>
      </c>
      <c r="X80" s="95" t="str">
        <f t="shared" ref="X80:X81" si="39">IF(W80=0,"NA",T80/W80)</f>
        <v>NA</v>
      </c>
    </row>
    <row r="81" spans="2:24" s="97" customFormat="1">
      <c r="B81" s="305" t="s">
        <v>72</v>
      </c>
      <c r="C81" s="298">
        <v>0</v>
      </c>
      <c r="D81" s="240">
        <v>112.07859999999999</v>
      </c>
      <c r="E81" s="240">
        <f t="shared" si="24"/>
        <v>112.07859999999999</v>
      </c>
      <c r="F81" s="154">
        <v>0</v>
      </c>
      <c r="G81" s="296" t="str">
        <f t="shared" si="0"/>
        <v>NA</v>
      </c>
      <c r="H81" s="243">
        <v>0</v>
      </c>
      <c r="I81" s="240">
        <v>34595</v>
      </c>
      <c r="J81" s="240">
        <v>30751</v>
      </c>
      <c r="K81" s="154">
        <v>0</v>
      </c>
      <c r="L81" s="241" t="str">
        <f t="shared" si="37"/>
        <v>NA</v>
      </c>
      <c r="M81" s="279">
        <f t="shared" si="38"/>
        <v>0</v>
      </c>
      <c r="N81" s="264">
        <v>0</v>
      </c>
      <c r="O81" s="277">
        <v>0</v>
      </c>
      <c r="P81" s="277">
        <v>57500</v>
      </c>
      <c r="Q81" s="264">
        <v>0</v>
      </c>
      <c r="R81" s="241" t="str">
        <f t="shared" si="8"/>
        <v>NA</v>
      </c>
      <c r="S81" s="279">
        <f>SUM(T81:U81)</f>
        <v>0</v>
      </c>
      <c r="T81" s="264">
        <v>0</v>
      </c>
      <c r="U81" s="264">
        <v>0</v>
      </c>
      <c r="V81" s="277">
        <v>0</v>
      </c>
      <c r="W81" s="252">
        <v>0</v>
      </c>
      <c r="X81" s="95" t="str">
        <f t="shared" si="39"/>
        <v>NA</v>
      </c>
    </row>
    <row r="82" spans="2:24" s="94" customFormat="1">
      <c r="B82" s="305"/>
      <c r="C82" s="298"/>
      <c r="D82" s="154"/>
      <c r="E82" s="154"/>
      <c r="F82" s="154"/>
      <c r="G82" s="296"/>
      <c r="H82" s="243"/>
      <c r="I82" s="154"/>
      <c r="J82" s="154"/>
      <c r="K82" s="154"/>
      <c r="L82" s="239"/>
      <c r="M82" s="263"/>
      <c r="N82" s="264"/>
      <c r="O82" s="264"/>
      <c r="P82" s="264"/>
      <c r="Q82" s="264"/>
      <c r="R82" s="241"/>
      <c r="S82" s="263"/>
      <c r="T82" s="264"/>
      <c r="U82" s="264"/>
      <c r="V82" s="264"/>
      <c r="W82" s="252"/>
      <c r="X82" s="95"/>
    </row>
    <row r="83" spans="2:24" s="92" customFormat="1">
      <c r="B83" s="306" t="s">
        <v>73</v>
      </c>
      <c r="C83" s="290">
        <f>SUM(C70:C82)</f>
        <v>11347.91</v>
      </c>
      <c r="D83" s="232">
        <f>SUM(D70:D82)</f>
        <v>50981.908600000002</v>
      </c>
      <c r="E83" s="232">
        <f>SUM(E70:E82)</f>
        <v>50981.908600000002</v>
      </c>
      <c r="F83" s="232">
        <f>SUM(F70:F82)</f>
        <v>36551</v>
      </c>
      <c r="G83" s="291">
        <f t="shared" si="0"/>
        <v>0.3104678394571968</v>
      </c>
      <c r="H83" s="316">
        <f>SUM(H70:H82)</f>
        <v>27503.965870307165</v>
      </c>
      <c r="I83" s="232">
        <f>SUM(I70:I82)</f>
        <v>390671.1254965706</v>
      </c>
      <c r="J83" s="232">
        <f>SUM(J70:J82)</f>
        <v>809991</v>
      </c>
      <c r="K83" s="232">
        <f>SUM(K70:K82)</f>
        <v>517376</v>
      </c>
      <c r="L83" s="233">
        <f t="shared" ref="L83" si="40">IF(K83=0,"NA",H83/K83)</f>
        <v>5.3160498110285684E-2</v>
      </c>
      <c r="M83" s="265">
        <f t="shared" si="7"/>
        <v>3282860.63</v>
      </c>
      <c r="N83" s="257">
        <f>SUM(N70:N82)</f>
        <v>1842062.1900000002</v>
      </c>
      <c r="O83" s="257">
        <f>SUM(O70:O82)</f>
        <v>1440798.44</v>
      </c>
      <c r="P83" s="257">
        <f>SUM(P70:P82)</f>
        <v>14494526</v>
      </c>
      <c r="Q83" s="257">
        <f>SUM(Q70:Q82)</f>
        <v>54348338.225216761</v>
      </c>
      <c r="R83" s="266">
        <f t="shared" si="8"/>
        <v>6.0404066383704165E-2</v>
      </c>
      <c r="S83" s="265">
        <f t="shared" si="3"/>
        <v>140465.85</v>
      </c>
      <c r="T83" s="257">
        <f>SUM(T70:T82)</f>
        <v>43792.72</v>
      </c>
      <c r="U83" s="257">
        <f>SUM(U70:U82)</f>
        <v>96673.13</v>
      </c>
      <c r="V83" s="257">
        <f>SUM(V70:V82)</f>
        <v>798396.68</v>
      </c>
      <c r="W83" s="255">
        <f>SUM(W70:W82)</f>
        <v>1100123.2134105868</v>
      </c>
      <c r="X83" s="112">
        <f t="shared" si="9"/>
        <v>0.1276819253404623</v>
      </c>
    </row>
    <row r="84" spans="2:24" s="92" customFormat="1">
      <c r="B84" s="311" t="s">
        <v>74</v>
      </c>
      <c r="C84" s="299">
        <v>6841.7610000000013</v>
      </c>
      <c r="D84" s="232">
        <v>19345</v>
      </c>
      <c r="E84" s="232">
        <v>19345</v>
      </c>
      <c r="F84" s="280">
        <v>39469</v>
      </c>
      <c r="G84" s="300">
        <f t="shared" si="0"/>
        <v>0.17334518229496571</v>
      </c>
      <c r="H84" s="319">
        <v>-233507.20136518774</v>
      </c>
      <c r="I84" s="232">
        <v>-660238.90784982929</v>
      </c>
      <c r="J84" s="232">
        <v>-599431</v>
      </c>
      <c r="K84" s="232">
        <v>-1347035.638225256</v>
      </c>
      <c r="L84" s="114">
        <f t="shared" si="1"/>
        <v>0.17334894099226486</v>
      </c>
      <c r="M84" s="17">
        <f t="shared" si="7"/>
        <v>0</v>
      </c>
      <c r="N84" s="19"/>
      <c r="O84" s="19"/>
      <c r="P84" s="19"/>
      <c r="Q84" s="19"/>
      <c r="R84" s="14" t="str">
        <f t="shared" si="8"/>
        <v>NA</v>
      </c>
      <c r="S84" s="17">
        <f t="shared" si="3"/>
        <v>0</v>
      </c>
      <c r="T84" s="19"/>
      <c r="U84" s="19"/>
      <c r="V84" s="19"/>
      <c r="W84" s="19"/>
      <c r="X84" s="14" t="str">
        <f t="shared" si="9"/>
        <v>NA</v>
      </c>
    </row>
    <row r="85" spans="2:24" s="92" customFormat="1">
      <c r="B85" s="311" t="s">
        <v>75</v>
      </c>
      <c r="C85" s="290">
        <v>15034</v>
      </c>
      <c r="D85" s="232">
        <v>73281</v>
      </c>
      <c r="E85" s="232">
        <v>73281</v>
      </c>
      <c r="F85" s="232">
        <v>60135</v>
      </c>
      <c r="G85" s="291">
        <f t="shared" si="0"/>
        <v>0.25000415731271308</v>
      </c>
      <c r="H85" s="316">
        <v>0</v>
      </c>
      <c r="I85" s="232">
        <v>0</v>
      </c>
      <c r="J85" s="232">
        <v>0</v>
      </c>
      <c r="K85" s="232">
        <v>0</v>
      </c>
      <c r="L85" s="113" t="str">
        <f t="shared" si="1"/>
        <v>NA</v>
      </c>
      <c r="M85" s="16">
        <f t="shared" si="7"/>
        <v>0</v>
      </c>
      <c r="N85" s="18"/>
      <c r="O85" s="18"/>
      <c r="P85" s="18"/>
      <c r="Q85" s="18"/>
      <c r="R85" s="12" t="str">
        <f t="shared" si="8"/>
        <v>NA</v>
      </c>
      <c r="S85" s="16">
        <f t="shared" si="3"/>
        <v>0</v>
      </c>
      <c r="T85" s="18"/>
      <c r="U85" s="18"/>
      <c r="V85" s="18"/>
      <c r="W85" s="18"/>
      <c r="X85" s="12" t="str">
        <f t="shared" si="9"/>
        <v>NA</v>
      </c>
    </row>
    <row r="86" spans="2:24" s="92" customFormat="1" ht="38.450000000000003" customHeight="1" thickBot="1">
      <c r="B86" s="312" t="s">
        <v>76</v>
      </c>
      <c r="C86" s="301">
        <f>SUM(C35,C53,C68,C80:C81,C84,C85)</f>
        <v>58024.760999999999</v>
      </c>
      <c r="D86" s="302">
        <f>SUM(D35,D53,D68,D80:D81,D84,D85)</f>
        <v>437437.37382072001</v>
      </c>
      <c r="E86" s="302">
        <f>SUM(E35,E53,E68,E80:E81,E84,E85)</f>
        <v>437437.37382072001</v>
      </c>
      <c r="F86" s="302">
        <f>SUM(F35,F53,F68,F80:F81,F84,F85)</f>
        <v>397909</v>
      </c>
      <c r="G86" s="303">
        <f t="shared" si="0"/>
        <v>0.14582419849764644</v>
      </c>
      <c r="H86" s="320">
        <f>SUM(H35,H53,H68,H80:H81,H84,H85)</f>
        <v>576900</v>
      </c>
      <c r="I86" s="15">
        <f>SUM(I35,I53,I68,I80:I81,I84,I85)</f>
        <v>3073335.2176467413</v>
      </c>
      <c r="J86" s="15">
        <f>SUM(J35,J53,J68,J80:J81,J84,J85,J79)</f>
        <v>3621430</v>
      </c>
      <c r="K86" s="15">
        <f>SUM(K35,K53,K68,K80:K81,K84,K85)</f>
        <v>2579569.361774744</v>
      </c>
      <c r="L86" s="13">
        <f t="shared" si="1"/>
        <v>0.22364198014938924</v>
      </c>
      <c r="M86" s="224">
        <f>SUM(M35,M53,M68,M80:M81,M84,M85)</f>
        <v>19395408.25</v>
      </c>
      <c r="N86" s="225">
        <f>SUM(N35,N53,N68,N80:N81,N84,N85)</f>
        <v>8931996.379999999</v>
      </c>
      <c r="O86" s="225">
        <f>SUM(O35,O53,O68,O80:O81,O84,O85)</f>
        <v>10463411.870000001</v>
      </c>
      <c r="P86" s="225">
        <f>SUM(P35,P53,P68,P80:P81,P84,P85)</f>
        <v>102774922.53</v>
      </c>
      <c r="Q86" s="225">
        <f>SUM(Q35,Q53,Q68,Q80:Q81,Q84,Q85)</f>
        <v>105209874.59366241</v>
      </c>
      <c r="R86" s="13">
        <f t="shared" si="8"/>
        <v>0.18434969459766215</v>
      </c>
      <c r="S86" s="224">
        <f>SUM(S35,S53,S68,S80:S81,S84,S85)</f>
        <v>2706654.69</v>
      </c>
      <c r="T86" s="225">
        <f>SUM(T35,T53,T68,T80:T81,T84,T85)</f>
        <v>1372662.67</v>
      </c>
      <c r="U86" s="225">
        <f>SUM(U35,U53,U68,U80:U81,U84,U85)</f>
        <v>1333992.02</v>
      </c>
      <c r="V86" s="225">
        <f>SUM(V35,V53,V68,V80:V81,V84,V85)</f>
        <v>14915222</v>
      </c>
      <c r="W86" s="225">
        <f>SUM(W35,W53,W68,W80:W81,W84,W85)</f>
        <v>12608334.143015606</v>
      </c>
      <c r="X86" s="13">
        <f t="shared" si="9"/>
        <v>0.21467187173964236</v>
      </c>
    </row>
    <row r="87" spans="2:24" ht="18" customHeight="1">
      <c r="B87" s="98"/>
      <c r="C87" s="99"/>
      <c r="D87" s="100"/>
      <c r="E87" s="101"/>
      <c r="F87" s="101"/>
      <c r="G87" s="102"/>
      <c r="H87" s="102"/>
      <c r="I87" s="102"/>
      <c r="J87" s="102"/>
      <c r="K87" s="102"/>
      <c r="L87" s="102"/>
      <c r="M87" s="102"/>
      <c r="N87" s="102"/>
      <c r="O87" s="210"/>
      <c r="P87" s="102"/>
      <c r="Q87" s="102"/>
      <c r="R87" s="102"/>
      <c r="S87" s="103"/>
      <c r="T87" s="103"/>
      <c r="U87" s="103"/>
      <c r="V87" s="103"/>
      <c r="W87" s="103"/>
      <c r="X87" s="102"/>
    </row>
    <row r="88" spans="2:24">
      <c r="B88" s="99"/>
      <c r="C88" s="99"/>
      <c r="D88" s="104"/>
      <c r="E88" s="104"/>
      <c r="F88" s="104"/>
      <c r="G88" s="102"/>
      <c r="H88" s="102"/>
      <c r="I88" s="245"/>
      <c r="J88" s="102">
        <f>H86/J86</f>
        <v>0.15930171230701684</v>
      </c>
      <c r="K88" s="102"/>
      <c r="L88" s="102"/>
      <c r="M88" s="102"/>
      <c r="N88" s="102"/>
      <c r="O88" s="102"/>
      <c r="P88" s="102"/>
      <c r="Q88" s="102"/>
      <c r="R88" s="102"/>
      <c r="S88" s="103"/>
      <c r="T88" s="103"/>
      <c r="U88" s="103"/>
      <c r="V88" s="103"/>
      <c r="W88" s="103"/>
      <c r="X88" s="102"/>
    </row>
    <row r="89" spans="2:24">
      <c r="B89" s="105" t="s">
        <v>77</v>
      </c>
      <c r="C89" s="105"/>
      <c r="W89" s="106"/>
    </row>
    <row r="90" spans="2:24">
      <c r="B90" s="335" t="s">
        <v>78</v>
      </c>
      <c r="C90" s="336"/>
      <c r="D90" s="336"/>
      <c r="E90" s="336"/>
      <c r="F90" s="336"/>
      <c r="G90" s="336"/>
      <c r="H90" s="336"/>
      <c r="I90" s="336"/>
      <c r="J90" s="336"/>
      <c r="K90" s="336"/>
      <c r="L90" s="336"/>
      <c r="M90" s="336"/>
      <c r="N90" s="336"/>
      <c r="O90" s="336"/>
      <c r="P90" s="336"/>
      <c r="Q90" s="336"/>
      <c r="R90" s="336"/>
      <c r="S90" s="336"/>
      <c r="T90" s="336"/>
      <c r="U90" s="336"/>
      <c r="V90" s="336"/>
      <c r="W90" s="336"/>
      <c r="X90" s="337"/>
    </row>
    <row r="91" spans="2:24" ht="17.45" customHeight="1">
      <c r="B91" s="338" t="s">
        <v>79</v>
      </c>
      <c r="C91" s="339"/>
      <c r="D91" s="339"/>
      <c r="E91" s="339"/>
      <c r="F91" s="339"/>
      <c r="G91" s="339"/>
      <c r="H91" s="339"/>
      <c r="I91" s="339"/>
      <c r="J91" s="339"/>
      <c r="K91" s="339"/>
      <c r="L91" s="339"/>
      <c r="M91" s="339"/>
      <c r="N91" s="339"/>
      <c r="O91" s="339"/>
      <c r="P91" s="339"/>
      <c r="Q91" s="339"/>
      <c r="R91" s="339"/>
      <c r="S91" s="339"/>
      <c r="T91" s="339"/>
      <c r="U91" s="339"/>
      <c r="V91" s="339"/>
      <c r="W91" s="339"/>
      <c r="X91" s="340"/>
    </row>
    <row r="92" spans="2:24">
      <c r="B92" s="329" t="s">
        <v>80</v>
      </c>
      <c r="C92" s="330"/>
      <c r="D92" s="330"/>
      <c r="E92" s="330"/>
      <c r="F92" s="330"/>
      <c r="G92" s="330"/>
      <c r="H92" s="330"/>
      <c r="I92" s="330"/>
      <c r="J92" s="330"/>
      <c r="K92" s="330"/>
      <c r="L92" s="330"/>
      <c r="M92" s="330"/>
      <c r="N92" s="330"/>
      <c r="O92" s="330"/>
      <c r="P92" s="330"/>
      <c r="Q92" s="330"/>
      <c r="R92" s="330"/>
      <c r="S92" s="330"/>
      <c r="T92" s="330"/>
      <c r="U92" s="330"/>
      <c r="V92" s="330"/>
      <c r="W92" s="330"/>
      <c r="X92" s="331"/>
    </row>
    <row r="93" spans="2:24">
      <c r="B93" s="332"/>
      <c r="C93" s="333"/>
      <c r="D93" s="333"/>
      <c r="E93" s="333"/>
      <c r="F93" s="333"/>
      <c r="G93" s="333"/>
      <c r="H93" s="333"/>
      <c r="I93" s="333"/>
      <c r="J93" s="333"/>
      <c r="K93" s="333"/>
      <c r="L93" s="333"/>
      <c r="M93" s="333"/>
      <c r="N93" s="333"/>
      <c r="O93" s="333"/>
      <c r="P93" s="333"/>
      <c r="Q93" s="333"/>
      <c r="R93" s="333"/>
      <c r="S93" s="333"/>
      <c r="T93" s="333"/>
      <c r="U93" s="333"/>
      <c r="V93" s="333"/>
      <c r="W93" s="333"/>
      <c r="X93" s="334"/>
    </row>
    <row r="94" spans="2:24">
      <c r="B94" s="321" t="s">
        <v>81</v>
      </c>
      <c r="C94" s="321"/>
      <c r="D94" s="321"/>
      <c r="E94" s="321"/>
      <c r="F94" s="321"/>
      <c r="G94" s="321"/>
      <c r="H94" s="321"/>
      <c r="I94" s="321"/>
      <c r="J94" s="321"/>
      <c r="K94" s="321"/>
      <c r="L94" s="321"/>
      <c r="M94" s="321"/>
      <c r="N94" s="321"/>
      <c r="O94" s="321"/>
      <c r="P94" s="321"/>
      <c r="Q94" s="321"/>
      <c r="R94" s="321"/>
      <c r="S94" s="321"/>
      <c r="T94" s="321"/>
      <c r="U94" s="321"/>
      <c r="V94" s="321"/>
      <c r="W94" s="321"/>
      <c r="X94" s="321"/>
    </row>
    <row r="96" spans="2:24">
      <c r="C96" s="246"/>
      <c r="D96" s="246"/>
      <c r="E96" s="246"/>
      <c r="F96" s="246"/>
      <c r="G96" s="246"/>
      <c r="H96" s="246"/>
      <c r="I96" s="246"/>
      <c r="J96" s="246"/>
      <c r="K96" s="246"/>
    </row>
  </sheetData>
  <mergeCells count="10">
    <mergeCell ref="B94:X94"/>
    <mergeCell ref="B5:X6"/>
    <mergeCell ref="B8:X16"/>
    <mergeCell ref="B92:X93"/>
    <mergeCell ref="B90:X90"/>
    <mergeCell ref="B91:X91"/>
    <mergeCell ref="C20:G20"/>
    <mergeCell ref="H20:L20"/>
    <mergeCell ref="M20:R20"/>
    <mergeCell ref="S20:X20"/>
  </mergeCells>
  <printOptions headings="1"/>
  <pageMargins left="0.7" right="0.7" top="0.75" bottom="0.75" header="0.3" footer="0.3"/>
  <pageSetup scale="44" orientation="portrait" r:id="rId1"/>
  <ignoredErrors>
    <ignoredError sqref="G68 G53 G35:G36 G86 G83 G73:G78 L73:L78 R73:R78" formula="1"/>
    <ignoredError sqref="S80:S81 S23:S33 M80:M81 M23:M33 M56:M66 M38:M50 S38:S50 M52:M55 H86:I86 E86 S62:S65 S56:S58 S55 S59:S61 S66 K86:L8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zoomScale="85" zoomScaleNormal="85" workbookViewId="0"/>
  </sheetViews>
  <sheetFormatPr defaultColWidth="9.140625" defaultRowHeight="16.5"/>
  <cols>
    <col min="1" max="1" width="3.42578125" style="49" customWidth="1"/>
    <col min="2" max="2" width="87" style="115" bestFit="1" customWidth="1"/>
    <col min="3" max="3" width="19.28515625" style="115" customWidth="1"/>
    <col min="4" max="7" width="19.28515625" style="49" customWidth="1"/>
    <col min="8" max="8" width="9.140625" style="49"/>
    <col min="9" max="9" width="10.28515625" style="49" bestFit="1" customWidth="1"/>
    <col min="10" max="16384" width="9.140625" style="49"/>
  </cols>
  <sheetData>
    <row r="1" spans="2:5">
      <c r="B1" s="50" t="s">
        <v>0</v>
      </c>
    </row>
    <row r="2" spans="2:5">
      <c r="B2" s="50" t="s">
        <v>82</v>
      </c>
    </row>
    <row r="3" spans="2:5">
      <c r="B3" s="50" t="s">
        <v>83</v>
      </c>
    </row>
    <row r="4" spans="2:5">
      <c r="B4" s="50"/>
    </row>
    <row r="5" spans="2:5" ht="37.5" customHeight="1">
      <c r="B5" s="347" t="s">
        <v>84</v>
      </c>
      <c r="C5" s="348"/>
      <c r="D5" s="348"/>
      <c r="E5" s="349"/>
    </row>
    <row r="6" spans="2:5" ht="37.5" customHeight="1">
      <c r="B6" s="350"/>
      <c r="C6" s="351"/>
      <c r="D6" s="351"/>
      <c r="E6" s="352"/>
    </row>
    <row r="7" spans="2:5" ht="18.75" customHeight="1">
      <c r="B7" s="353"/>
      <c r="C7" s="354"/>
      <c r="D7" s="354"/>
      <c r="E7" s="355"/>
    </row>
    <row r="9" spans="2:5">
      <c r="B9" s="50" t="s">
        <v>85</v>
      </c>
    </row>
    <row r="10" spans="2:5">
      <c r="B10" s="50"/>
    </row>
    <row r="11" spans="2:5" ht="38.25">
      <c r="B11" s="20" t="s">
        <v>86</v>
      </c>
      <c r="C11" s="21" t="s">
        <v>87</v>
      </c>
      <c r="D11" s="21" t="s">
        <v>88</v>
      </c>
      <c r="E11" s="21" t="s">
        <v>89</v>
      </c>
    </row>
    <row r="12" spans="2:5" s="52" customFormat="1" ht="21" customHeight="1">
      <c r="B12" s="130" t="s">
        <v>90</v>
      </c>
      <c r="C12" s="131"/>
      <c r="D12" s="131"/>
      <c r="E12" s="132"/>
    </row>
    <row r="13" spans="2:5" ht="15">
      <c r="B13" s="116" t="s">
        <v>91</v>
      </c>
      <c r="C13" s="117">
        <f>'1- Ex Ante Results'!M36</f>
        <v>6114569.3599999994</v>
      </c>
      <c r="D13" s="117">
        <f>'1- Ex Ante Results'!S36</f>
        <v>769472.81</v>
      </c>
      <c r="E13" s="117">
        <f>SUM(C13:D13)</f>
        <v>6884042.1699999999</v>
      </c>
    </row>
    <row r="14" spans="2:5" ht="15">
      <c r="B14" s="118" t="s">
        <v>92</v>
      </c>
      <c r="C14" s="119">
        <f>'1- Ex Ante Results'!M37</f>
        <v>2314151.9900000002</v>
      </c>
      <c r="D14" s="119">
        <f>'1- Ex Ante Results'!S37</f>
        <v>429873.43</v>
      </c>
      <c r="E14" s="117">
        <f t="shared" ref="E14:E17" si="0">SUM(C14:D14)</f>
        <v>2744025.4200000004</v>
      </c>
    </row>
    <row r="15" spans="2:5" ht="15">
      <c r="B15" s="118" t="s">
        <v>37</v>
      </c>
      <c r="C15" s="119">
        <f>'1- Ex Ante Results'!M53</f>
        <v>1886212.1</v>
      </c>
      <c r="D15" s="119">
        <f>'1- Ex Ante Results'!S53</f>
        <v>287353.14</v>
      </c>
      <c r="E15" s="117">
        <f t="shared" si="0"/>
        <v>2173565.2400000002</v>
      </c>
    </row>
    <row r="16" spans="2:5" ht="15">
      <c r="B16" s="118" t="s">
        <v>51</v>
      </c>
      <c r="C16" s="119">
        <f>'1- Ex Ante Results'!M68</f>
        <v>9080474.8000000007</v>
      </c>
      <c r="D16" s="119">
        <f>'1- Ex Ante Results'!S68</f>
        <v>1219955.31</v>
      </c>
      <c r="E16" s="117">
        <f t="shared" si="0"/>
        <v>10300430.110000001</v>
      </c>
    </row>
    <row r="17" spans="2:7" ht="15">
      <c r="B17" s="120" t="s">
        <v>93</v>
      </c>
      <c r="C17" s="121">
        <f>'1- Ex Ante Results'!M83</f>
        <v>3282860.63</v>
      </c>
      <c r="D17" s="121">
        <f>'1- Ex Ante Results'!S83</f>
        <v>140465.85</v>
      </c>
      <c r="E17" s="122">
        <f t="shared" si="0"/>
        <v>3423326.48</v>
      </c>
    </row>
    <row r="18" spans="2:7" s="52" customFormat="1" ht="21.6" customHeight="1">
      <c r="B18" s="22" t="s">
        <v>94</v>
      </c>
      <c r="C18" s="23">
        <f>SUM(C13:C16)</f>
        <v>19395408.25</v>
      </c>
      <c r="D18" s="23">
        <f t="shared" ref="D18:E18" si="1">SUM(D13:D16)</f>
        <v>2706654.69</v>
      </c>
      <c r="E18" s="23">
        <f t="shared" si="1"/>
        <v>22102062.940000001</v>
      </c>
    </row>
    <row r="19" spans="2:7" s="52" customFormat="1" ht="29.45" customHeight="1">
      <c r="B19" s="133" t="s">
        <v>95</v>
      </c>
      <c r="C19" s="134"/>
      <c r="D19" s="134"/>
      <c r="E19" s="135"/>
    </row>
    <row r="20" spans="2:7" ht="15">
      <c r="B20" s="123" t="s">
        <v>96</v>
      </c>
      <c r="C20" s="221">
        <v>754009</v>
      </c>
      <c r="D20" s="221">
        <v>0</v>
      </c>
      <c r="E20" s="124">
        <f>SUM(C20:D20)</f>
        <v>754009</v>
      </c>
    </row>
    <row r="21" spans="2:7" ht="15">
      <c r="B21" s="118" t="s">
        <v>97</v>
      </c>
      <c r="C21" s="222">
        <v>256632</v>
      </c>
      <c r="D21" s="222">
        <v>38587</v>
      </c>
      <c r="E21" s="124">
        <f t="shared" ref="E21:E23" si="2">SUM(C21:D21)</f>
        <v>295219</v>
      </c>
    </row>
    <row r="22" spans="2:7" ht="15">
      <c r="B22" s="125" t="s">
        <v>98</v>
      </c>
      <c r="C22" s="222">
        <f>54120+538534</f>
        <v>592654</v>
      </c>
      <c r="D22" s="222">
        <f>7380+72863</f>
        <v>80243</v>
      </c>
      <c r="E22" s="124">
        <f t="shared" si="2"/>
        <v>672897</v>
      </c>
    </row>
    <row r="23" spans="2:7" ht="15">
      <c r="B23" s="118" t="s">
        <v>99</v>
      </c>
      <c r="C23" s="222">
        <v>627021</v>
      </c>
      <c r="D23" s="222">
        <v>78131</v>
      </c>
      <c r="E23" s="124">
        <f t="shared" si="2"/>
        <v>705152</v>
      </c>
    </row>
    <row r="24" spans="2:7" s="52" customFormat="1" ht="23.45" customHeight="1">
      <c r="B24" s="6" t="s">
        <v>100</v>
      </c>
      <c r="C24" s="24">
        <f>SUM(C20:C23)</f>
        <v>2230316</v>
      </c>
      <c r="D24" s="24">
        <f t="shared" ref="D24:E24" si="3">SUM(D20:D23)</f>
        <v>196961</v>
      </c>
      <c r="E24" s="24">
        <f t="shared" si="3"/>
        <v>2427277</v>
      </c>
    </row>
    <row r="25" spans="2:7" s="52" customFormat="1" ht="32.450000000000003" customHeight="1">
      <c r="B25" s="136" t="s">
        <v>101</v>
      </c>
      <c r="C25" s="137">
        <f>SUM(C18,C24)</f>
        <v>21625724.25</v>
      </c>
      <c r="D25" s="137">
        <f t="shared" ref="D25:E25" si="4">SUM(D18,D24)</f>
        <v>2903615.69</v>
      </c>
      <c r="E25" s="137">
        <f t="shared" si="4"/>
        <v>24529339.940000001</v>
      </c>
    </row>
    <row r="26" spans="2:7" ht="15">
      <c r="B26" s="127"/>
      <c r="C26" s="127"/>
    </row>
    <row r="27" spans="2:7" s="52" customFormat="1" ht="17.45" customHeight="1">
      <c r="B27" s="128"/>
      <c r="C27" s="128"/>
    </row>
    <row r="28" spans="2:7" s="52" customFormat="1" ht="20.100000000000001" customHeight="1">
      <c r="B28" s="48" t="s">
        <v>102</v>
      </c>
      <c r="C28" s="128"/>
    </row>
    <row r="29" spans="2:7" ht="42" customHeight="1">
      <c r="B29" s="5" t="s">
        <v>103</v>
      </c>
      <c r="C29" s="21" t="s">
        <v>87</v>
      </c>
      <c r="D29" s="21" t="s">
        <v>88</v>
      </c>
      <c r="E29" s="21" t="s">
        <v>89</v>
      </c>
      <c r="F29" s="5" t="s">
        <v>104</v>
      </c>
      <c r="G29" s="4" t="s">
        <v>21</v>
      </c>
    </row>
    <row r="30" spans="2:7" s="52" customFormat="1" ht="35.450000000000003" customHeight="1">
      <c r="B30" s="126" t="s">
        <v>101</v>
      </c>
      <c r="C30" s="129">
        <f>C25</f>
        <v>21625724.25</v>
      </c>
      <c r="D30" s="129">
        <f t="shared" ref="D30:E30" si="5">D25</f>
        <v>2903615.69</v>
      </c>
      <c r="E30" s="129">
        <f t="shared" si="5"/>
        <v>24529339.940000001</v>
      </c>
      <c r="F30" s="258">
        <v>138078612</v>
      </c>
      <c r="G30" s="206">
        <f>E30/F30</f>
        <v>0.17764764277902795</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tabSelected="1" zoomScaleNormal="100" workbookViewId="0"/>
  </sheetViews>
  <sheetFormatPr defaultColWidth="9.140625" defaultRowHeight="15"/>
  <cols>
    <col min="1" max="1" width="4.42578125" style="49" customWidth="1"/>
    <col min="2" max="2" width="4.85546875" style="106" customWidth="1"/>
    <col min="3" max="3" width="4.5703125" style="49" customWidth="1"/>
    <col min="4" max="4" width="76.5703125" style="49" customWidth="1"/>
    <col min="5" max="5" width="14" style="49" customWidth="1"/>
    <col min="6" max="6" width="45" style="49" customWidth="1"/>
    <col min="7" max="7" width="21.7109375" style="49" bestFit="1" customWidth="1"/>
    <col min="8" max="8" width="13.28515625" style="49" bestFit="1" customWidth="1"/>
    <col min="9" max="9" width="11" style="49" bestFit="1" customWidth="1"/>
    <col min="10" max="16384" width="9.140625" style="49"/>
  </cols>
  <sheetData>
    <row r="1" spans="2:11" ht="16.5" customHeight="1">
      <c r="B1" s="50" t="s">
        <v>0</v>
      </c>
      <c r="E1" s="166"/>
      <c r="F1" s="166"/>
    </row>
    <row r="2" spans="2:11" ht="14.25" customHeight="1">
      <c r="B2" s="50" t="s">
        <v>105</v>
      </c>
      <c r="E2" s="167"/>
      <c r="F2" s="167"/>
    </row>
    <row r="3" spans="2:11" ht="15.75">
      <c r="B3" s="50" t="s">
        <v>83</v>
      </c>
      <c r="E3" s="168"/>
      <c r="F3" s="168"/>
    </row>
    <row r="4" spans="2:11" ht="18.75">
      <c r="B4" s="169"/>
      <c r="E4" s="168"/>
      <c r="F4" s="168"/>
    </row>
    <row r="5" spans="2:11" ht="22.35" customHeight="1">
      <c r="B5" s="328" t="s">
        <v>106</v>
      </c>
      <c r="C5" s="328"/>
      <c r="D5" s="328"/>
      <c r="E5" s="151"/>
      <c r="F5" s="151"/>
      <c r="G5" s="151"/>
      <c r="H5" s="151"/>
      <c r="I5" s="151"/>
      <c r="J5" s="151"/>
      <c r="K5" s="151"/>
    </row>
    <row r="6" spans="2:11" ht="27" customHeight="1">
      <c r="B6" s="328"/>
      <c r="C6" s="328"/>
      <c r="D6" s="328"/>
      <c r="E6" s="151"/>
      <c r="F6" s="151"/>
      <c r="G6" s="151"/>
      <c r="H6" s="151"/>
      <c r="I6" s="151"/>
      <c r="J6" s="151"/>
      <c r="K6" s="151"/>
    </row>
    <row r="7" spans="2:11" ht="22.35" customHeight="1">
      <c r="B7" s="63"/>
      <c r="C7" s="63"/>
      <c r="D7" s="63"/>
      <c r="E7" s="151"/>
      <c r="F7" s="151"/>
      <c r="G7" s="151"/>
      <c r="H7" s="151"/>
      <c r="I7" s="151"/>
      <c r="J7" s="151"/>
      <c r="K7" s="151"/>
    </row>
    <row r="8" spans="2:11" ht="22.35" customHeight="1">
      <c r="B8" s="368" t="s">
        <v>107</v>
      </c>
      <c r="C8" s="368"/>
      <c r="D8" s="368"/>
      <c r="E8" s="151"/>
      <c r="F8" s="151"/>
      <c r="G8" s="151"/>
      <c r="H8" s="151"/>
      <c r="I8" s="151"/>
      <c r="J8" s="151"/>
      <c r="K8" s="151"/>
    </row>
    <row r="9" spans="2:11" ht="21" customHeight="1">
      <c r="B9" s="373" t="s">
        <v>108</v>
      </c>
      <c r="C9" s="373"/>
      <c r="D9" s="373"/>
      <c r="E9" s="63"/>
      <c r="F9" s="63"/>
      <c r="G9" s="63"/>
      <c r="H9" s="63"/>
      <c r="I9" s="63"/>
      <c r="J9" s="63"/>
      <c r="K9" s="63"/>
    </row>
    <row r="10" spans="2:11" ht="21" customHeight="1">
      <c r="B10" s="374" t="s">
        <v>109</v>
      </c>
      <c r="C10" s="374"/>
      <c r="D10" s="374"/>
      <c r="E10" s="63"/>
      <c r="F10" s="63"/>
      <c r="G10" s="63"/>
      <c r="H10" s="63"/>
      <c r="I10" s="63"/>
      <c r="J10" s="63"/>
      <c r="K10" s="63"/>
    </row>
    <row r="11" spans="2:11" ht="21" customHeight="1">
      <c r="B11" s="375" t="s">
        <v>110</v>
      </c>
      <c r="C11" s="375"/>
      <c r="D11" s="375"/>
      <c r="E11" s="63"/>
      <c r="F11" s="63"/>
      <c r="G11" s="63"/>
      <c r="H11" s="63"/>
      <c r="I11" s="63"/>
      <c r="J11" s="63"/>
      <c r="K11" s="63"/>
    </row>
    <row r="12" spans="2:11" ht="21" customHeight="1">
      <c r="B12" s="51"/>
      <c r="C12" s="51"/>
      <c r="D12" s="51"/>
      <c r="E12" s="63"/>
      <c r="F12" s="63"/>
      <c r="G12" s="63"/>
      <c r="H12" s="63"/>
      <c r="I12" s="63"/>
      <c r="J12" s="63"/>
      <c r="K12" s="63"/>
    </row>
    <row r="13" spans="2:11" ht="21" customHeight="1">
      <c r="B13" s="90" t="s">
        <v>111</v>
      </c>
      <c r="C13" s="51"/>
      <c r="D13" s="51"/>
      <c r="E13" s="63"/>
      <c r="F13" s="63"/>
      <c r="G13" s="63"/>
      <c r="H13" s="63"/>
      <c r="I13" s="63"/>
      <c r="J13" s="63"/>
      <c r="K13" s="63"/>
    </row>
    <row r="14" spans="2:11" ht="21" customHeight="1">
      <c r="B14" s="63"/>
      <c r="C14" s="63"/>
      <c r="D14" s="63"/>
      <c r="E14" s="63"/>
      <c r="F14" s="63"/>
      <c r="G14" s="63"/>
      <c r="H14" s="63"/>
      <c r="I14" s="63"/>
      <c r="J14" s="63"/>
      <c r="K14" s="63"/>
    </row>
    <row r="15" spans="2:11" ht="18" customHeight="1">
      <c r="B15" s="175" t="s">
        <v>112</v>
      </c>
      <c r="C15" s="176"/>
      <c r="D15" s="176"/>
      <c r="E15" s="176"/>
      <c r="F15" s="177"/>
    </row>
    <row r="16" spans="2:11" ht="16.5">
      <c r="B16" s="173" t="s">
        <v>113</v>
      </c>
      <c r="C16" s="371" t="s">
        <v>114</v>
      </c>
      <c r="D16" s="372"/>
      <c r="E16" s="178">
        <v>0.12143302682931099</v>
      </c>
      <c r="F16" s="174" t="s">
        <v>115</v>
      </c>
      <c r="G16" s="228"/>
      <c r="H16" s="227"/>
    </row>
    <row r="17" spans="1:9" ht="16.5">
      <c r="B17" s="164" t="s">
        <v>116</v>
      </c>
      <c r="C17" s="362" t="s">
        <v>117</v>
      </c>
      <c r="D17" s="363"/>
      <c r="E17" s="179">
        <v>29422649</v>
      </c>
      <c r="F17" s="8" t="s">
        <v>115</v>
      </c>
      <c r="G17" s="228"/>
    </row>
    <row r="18" spans="1:9" ht="16.5">
      <c r="B18" s="164" t="s">
        <v>118</v>
      </c>
      <c r="C18" s="362" t="s">
        <v>119</v>
      </c>
      <c r="D18" s="363"/>
      <c r="E18" s="180">
        <f>E16*E17</f>
        <v>3572881.3254064005</v>
      </c>
      <c r="F18" s="7" t="s">
        <v>120</v>
      </c>
      <c r="H18" s="213"/>
    </row>
    <row r="19" spans="1:9" ht="16.5">
      <c r="B19" s="164" t="s">
        <v>121</v>
      </c>
      <c r="C19" s="362" t="s">
        <v>122</v>
      </c>
      <c r="D19" s="363"/>
      <c r="E19" s="181">
        <v>3592897</v>
      </c>
      <c r="F19" s="9" t="s">
        <v>123</v>
      </c>
      <c r="I19" s="212"/>
    </row>
    <row r="20" spans="1:9" ht="16.5" customHeight="1">
      <c r="B20" s="164"/>
      <c r="C20" s="170" t="s">
        <v>124</v>
      </c>
      <c r="D20" s="171"/>
      <c r="E20" s="182"/>
      <c r="F20" s="172"/>
    </row>
    <row r="21" spans="1:9" ht="16.5">
      <c r="B21" s="164" t="s">
        <v>125</v>
      </c>
      <c r="C21" s="358" t="s">
        <v>126</v>
      </c>
      <c r="D21" s="359"/>
      <c r="E21" s="179">
        <v>735566</v>
      </c>
      <c r="F21" s="8" t="s">
        <v>127</v>
      </c>
    </row>
    <row r="22" spans="1:9" ht="16.5">
      <c r="B22" s="164" t="s">
        <v>128</v>
      </c>
      <c r="C22" s="358" t="s">
        <v>129</v>
      </c>
      <c r="D22" s="359"/>
      <c r="E22" s="179">
        <v>823834</v>
      </c>
      <c r="F22" s="8" t="s">
        <v>127</v>
      </c>
    </row>
    <row r="23" spans="1:9" ht="16.5">
      <c r="B23" s="164" t="s">
        <v>130</v>
      </c>
      <c r="C23" s="358" t="s">
        <v>131</v>
      </c>
      <c r="D23" s="359"/>
      <c r="E23" s="183">
        <f>E21/E17</f>
        <v>2.4999992352829958E-2</v>
      </c>
      <c r="F23" s="7" t="s">
        <v>132</v>
      </c>
    </row>
    <row r="24" spans="1:9" ht="16.5">
      <c r="A24" s="52"/>
      <c r="B24" s="164" t="s">
        <v>133</v>
      </c>
      <c r="C24" s="358" t="s">
        <v>134</v>
      </c>
      <c r="D24" s="359"/>
      <c r="E24" s="180">
        <f>E22-E21</f>
        <v>88268</v>
      </c>
      <c r="F24" s="7" t="s">
        <v>135</v>
      </c>
    </row>
    <row r="25" spans="1:9" ht="16.5">
      <c r="B25" s="164" t="s">
        <v>136</v>
      </c>
      <c r="C25" s="358" t="s">
        <v>137</v>
      </c>
      <c r="D25" s="359"/>
      <c r="E25" s="181">
        <v>44129</v>
      </c>
      <c r="F25" s="9" t="s">
        <v>123</v>
      </c>
      <c r="H25" s="226"/>
    </row>
    <row r="26" spans="1:9" ht="16.5">
      <c r="B26" s="164" t="s">
        <v>138</v>
      </c>
      <c r="C26" s="360" t="s">
        <v>139</v>
      </c>
      <c r="D26" s="361"/>
      <c r="E26" s="184">
        <f>E24+E25</f>
        <v>132397</v>
      </c>
      <c r="F26" s="7" t="s">
        <v>140</v>
      </c>
    </row>
    <row r="27" spans="1:9" ht="16.5">
      <c r="B27" s="164" t="s">
        <v>141</v>
      </c>
      <c r="C27" s="362" t="s">
        <v>142</v>
      </c>
      <c r="D27" s="363"/>
      <c r="E27" s="180">
        <f>E18-E19+E26</f>
        <v>112381.32540640049</v>
      </c>
      <c r="F27" s="7" t="s">
        <v>143</v>
      </c>
    </row>
    <row r="28" spans="1:9" ht="16.5">
      <c r="B28" s="230" t="s">
        <v>144</v>
      </c>
      <c r="C28" s="364" t="s">
        <v>145</v>
      </c>
      <c r="D28" s="365"/>
      <c r="E28" s="185">
        <f>E29</f>
        <v>58024.760999999999</v>
      </c>
      <c r="F28" s="9" t="s">
        <v>146</v>
      </c>
      <c r="G28"/>
      <c r="I28" s="227"/>
    </row>
    <row r="29" spans="1:9" ht="16.5">
      <c r="B29" s="164" t="s">
        <v>147</v>
      </c>
      <c r="C29" s="362" t="s">
        <v>148</v>
      </c>
      <c r="D29" s="363"/>
      <c r="E29" s="185">
        <f>'1- Ex Ante Results'!C86</f>
        <v>58024.760999999999</v>
      </c>
      <c r="F29" s="9" t="s">
        <v>149</v>
      </c>
    </row>
    <row r="30" spans="1:9" ht="27" customHeight="1">
      <c r="B30" s="164" t="s">
        <v>150</v>
      </c>
      <c r="C30" s="356" t="s">
        <v>151</v>
      </c>
      <c r="D30" s="357"/>
      <c r="E30" s="186">
        <f>E29/E27</f>
        <v>0.5163203120284191</v>
      </c>
      <c r="F30" s="7" t="s">
        <v>152</v>
      </c>
    </row>
    <row r="31" spans="1:9" ht="18" customHeight="1">
      <c r="B31" s="216" t="s">
        <v>153</v>
      </c>
      <c r="C31" s="217"/>
      <c r="D31" s="217"/>
      <c r="E31" s="218"/>
      <c r="F31" s="219"/>
    </row>
    <row r="32" spans="1:9" ht="16.5">
      <c r="B32" s="164" t="s">
        <v>154</v>
      </c>
      <c r="C32" s="366" t="s">
        <v>155</v>
      </c>
      <c r="D32" s="367"/>
      <c r="E32" s="188">
        <v>9.4688720000000004E-2</v>
      </c>
      <c r="F32" s="159" t="s">
        <v>115</v>
      </c>
    </row>
    <row r="33" spans="2:8" ht="16.5">
      <c r="B33" s="164" t="s">
        <v>156</v>
      </c>
      <c r="C33" s="366" t="s">
        <v>157</v>
      </c>
      <c r="D33" s="367"/>
      <c r="E33" s="185">
        <v>3310600</v>
      </c>
      <c r="F33" s="158" t="s">
        <v>115</v>
      </c>
    </row>
    <row r="34" spans="2:8" ht="16.5">
      <c r="B34" s="164" t="s">
        <v>158</v>
      </c>
      <c r="C34" s="165" t="s">
        <v>159</v>
      </c>
      <c r="D34" s="165"/>
      <c r="E34" s="180">
        <f>E18-E33</f>
        <v>262281.32540640049</v>
      </c>
      <c r="F34" s="7" t="s">
        <v>160</v>
      </c>
    </row>
    <row r="35" spans="2:8" ht="16.5">
      <c r="B35" s="164" t="s">
        <v>161</v>
      </c>
      <c r="C35" s="165" t="s">
        <v>162</v>
      </c>
      <c r="D35" s="165"/>
      <c r="E35" s="180">
        <f>E34+E26</f>
        <v>394678.32540640049</v>
      </c>
      <c r="F35" s="7" t="s">
        <v>163</v>
      </c>
      <c r="G35" s="163"/>
    </row>
    <row r="36" spans="2:8" ht="16.5">
      <c r="B36" s="164" t="s">
        <v>164</v>
      </c>
      <c r="C36" s="165" t="s">
        <v>165</v>
      </c>
      <c r="D36" s="165"/>
      <c r="E36" s="180">
        <f>E29</f>
        <v>58024.760999999999</v>
      </c>
      <c r="F36" s="7" t="s">
        <v>166</v>
      </c>
      <c r="H36" s="163"/>
    </row>
    <row r="37" spans="2:8" ht="32.450000000000003" customHeight="1">
      <c r="B37" s="164" t="s">
        <v>167</v>
      </c>
      <c r="C37" s="369" t="s">
        <v>168</v>
      </c>
      <c r="D37" s="370"/>
      <c r="E37" s="187">
        <f>E26</f>
        <v>132397</v>
      </c>
      <c r="F37" s="7" t="s">
        <v>169</v>
      </c>
    </row>
    <row r="38" spans="2:8" ht="16.5">
      <c r="B38" s="164" t="s">
        <v>170</v>
      </c>
      <c r="C38" s="369" t="s">
        <v>171</v>
      </c>
      <c r="D38" s="370"/>
      <c r="E38" s="180">
        <f>E36-E37</f>
        <v>-74372.239000000001</v>
      </c>
      <c r="F38" s="7" t="s">
        <v>172</v>
      </c>
    </row>
    <row r="39" spans="2:8" ht="30" customHeight="1">
      <c r="B39" s="164" t="s">
        <v>173</v>
      </c>
      <c r="C39" s="356" t="s">
        <v>174</v>
      </c>
      <c r="D39" s="357"/>
      <c r="E39" s="186">
        <f>E38/E34</f>
        <v>-0.28355903297637175</v>
      </c>
      <c r="F39" s="7" t="s">
        <v>175</v>
      </c>
    </row>
    <row r="40" spans="2:8" ht="16.5">
      <c r="B40" s="160"/>
      <c r="C40" s="115"/>
      <c r="D40" s="115"/>
      <c r="E40" s="161"/>
      <c r="F40" s="162"/>
    </row>
    <row r="41" spans="2:8" ht="16.5">
      <c r="B41" s="160"/>
      <c r="C41" s="115"/>
      <c r="D41" s="115"/>
      <c r="E41" s="115"/>
      <c r="F41" s="115"/>
    </row>
  </sheetData>
  <mergeCells count="24">
    <mergeCell ref="B5:D6"/>
    <mergeCell ref="B8:D8"/>
    <mergeCell ref="C37:D37"/>
    <mergeCell ref="C38:D38"/>
    <mergeCell ref="C19:D19"/>
    <mergeCell ref="C16:D16"/>
    <mergeCell ref="C17:D17"/>
    <mergeCell ref="C18:D18"/>
    <mergeCell ref="B9:D9"/>
    <mergeCell ref="B10:D10"/>
    <mergeCell ref="B11:D11"/>
    <mergeCell ref="C39:D39"/>
    <mergeCell ref="C21:D21"/>
    <mergeCell ref="C22:D22"/>
    <mergeCell ref="C23:D23"/>
    <mergeCell ref="C24:D24"/>
    <mergeCell ref="C25:D25"/>
    <mergeCell ref="C26:D26"/>
    <mergeCell ref="C27:D27"/>
    <mergeCell ref="C28:D28"/>
    <mergeCell ref="C29:D29"/>
    <mergeCell ref="C30:D30"/>
    <mergeCell ref="C32:D32"/>
    <mergeCell ref="C33:D33"/>
  </mergeCells>
  <printOptions headings="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zoomScale="70" zoomScaleNormal="70" workbookViewId="0"/>
  </sheetViews>
  <sheetFormatPr defaultColWidth="9.140625" defaultRowHeight="15"/>
  <cols>
    <col min="1" max="1" width="3.5703125" style="49" customWidth="1"/>
    <col min="2" max="2" width="18.85546875" style="52" customWidth="1"/>
    <col min="3" max="3" width="22.28515625" style="49" customWidth="1"/>
    <col min="4" max="4" width="24.140625" style="49" customWidth="1"/>
    <col min="5" max="5" width="18.85546875" style="49" customWidth="1"/>
    <col min="6" max="6" width="18.5703125" style="49" customWidth="1"/>
    <col min="7" max="7" width="19.42578125" style="49" customWidth="1"/>
    <col min="8" max="8" width="22" style="49" bestFit="1" customWidth="1"/>
    <col min="9" max="12" width="19.42578125" style="49" customWidth="1"/>
    <col min="13" max="13" width="3.42578125" style="49" customWidth="1"/>
    <col min="14" max="14" width="31.85546875" style="49" customWidth="1"/>
    <col min="15" max="17" width="16.7109375" style="49" customWidth="1"/>
    <col min="18" max="20" width="19.140625" style="49" bestFit="1" customWidth="1"/>
    <col min="21" max="23" width="16.7109375" style="49" customWidth="1"/>
    <col min="24" max="24" width="21.140625" style="49" bestFit="1" customWidth="1"/>
    <col min="25" max="16384" width="9.140625" style="49"/>
  </cols>
  <sheetData>
    <row r="1" spans="2:24">
      <c r="B1" s="48" t="s">
        <v>0</v>
      </c>
    </row>
    <row r="2" spans="2:24">
      <c r="B2" s="48" t="s">
        <v>176</v>
      </c>
    </row>
    <row r="3" spans="2:24">
      <c r="B3" s="50" t="s">
        <v>83</v>
      </c>
    </row>
    <row r="4" spans="2:24">
      <c r="B4" s="48"/>
    </row>
    <row r="5" spans="2:24" ht="14.45" customHeight="1">
      <c r="B5" s="379" t="s">
        <v>177</v>
      </c>
      <c r="C5" s="379"/>
      <c r="D5" s="379"/>
      <c r="E5" s="379"/>
      <c r="F5" s="379"/>
      <c r="G5" s="379"/>
      <c r="H5" s="51"/>
      <c r="I5" s="51"/>
      <c r="J5" s="51"/>
      <c r="K5" s="51"/>
      <c r="L5" s="51"/>
    </row>
    <row r="6" spans="2:24">
      <c r="B6" s="379"/>
      <c r="C6" s="379"/>
      <c r="D6" s="379"/>
      <c r="E6" s="379"/>
      <c r="F6" s="379"/>
      <c r="G6" s="379"/>
      <c r="H6" s="51"/>
      <c r="I6" s="51"/>
      <c r="J6" s="51"/>
      <c r="K6" s="51"/>
      <c r="L6" s="51"/>
    </row>
    <row r="7" spans="2:24">
      <c r="B7" s="379"/>
      <c r="C7" s="379"/>
      <c r="D7" s="379"/>
      <c r="E7" s="379"/>
      <c r="F7" s="379"/>
      <c r="G7" s="379"/>
      <c r="H7" s="51"/>
      <c r="I7" s="51"/>
      <c r="J7" s="51"/>
      <c r="K7" s="51"/>
      <c r="L7" s="51"/>
    </row>
    <row r="8" spans="2:24">
      <c r="B8" s="379"/>
      <c r="C8" s="379"/>
      <c r="D8" s="379"/>
      <c r="E8" s="379"/>
      <c r="F8" s="379"/>
      <c r="G8" s="379"/>
      <c r="H8" s="51"/>
      <c r="I8" s="51"/>
      <c r="J8" s="51"/>
      <c r="K8" s="51"/>
      <c r="L8" s="51"/>
    </row>
    <row r="9" spans="2:24">
      <c r="B9" s="379"/>
      <c r="C9" s="379"/>
      <c r="D9" s="379"/>
      <c r="E9" s="379"/>
      <c r="F9" s="379"/>
      <c r="G9" s="379"/>
      <c r="H9" s="51"/>
      <c r="I9" s="51"/>
      <c r="J9" s="51"/>
      <c r="K9" s="51"/>
      <c r="L9" s="51"/>
    </row>
    <row r="11" spans="2:24" ht="18">
      <c r="B11" s="53" t="s">
        <v>178</v>
      </c>
      <c r="C11" s="53"/>
      <c r="D11" s="54"/>
      <c r="E11" s="54"/>
      <c r="F11" s="54"/>
      <c r="G11" s="54"/>
      <c r="H11" s="54"/>
      <c r="I11" s="54"/>
      <c r="J11" s="54"/>
      <c r="K11" s="54"/>
      <c r="L11" s="54"/>
      <c r="N11" s="55" t="s">
        <v>179</v>
      </c>
    </row>
    <row r="12" spans="2:24" ht="18.75" thickBot="1">
      <c r="B12" s="53"/>
      <c r="C12" s="53"/>
      <c r="D12" s="54"/>
      <c r="E12" s="54"/>
      <c r="F12" s="54"/>
      <c r="G12" s="54"/>
      <c r="H12" s="54"/>
      <c r="I12" s="54"/>
      <c r="J12" s="54"/>
      <c r="K12" s="54"/>
      <c r="L12" s="54"/>
      <c r="N12" s="55"/>
    </row>
    <row r="13" spans="2:24" ht="33" customHeight="1" thickBot="1">
      <c r="C13" s="384" t="s">
        <v>180</v>
      </c>
      <c r="D13" s="385"/>
      <c r="E13" s="385"/>
      <c r="F13" s="385"/>
      <c r="G13" s="386"/>
      <c r="H13" s="384" t="s">
        <v>181</v>
      </c>
      <c r="I13" s="385"/>
      <c r="J13" s="385"/>
      <c r="K13" s="385"/>
      <c r="L13" s="386"/>
      <c r="N13" s="376" t="s">
        <v>180</v>
      </c>
      <c r="O13" s="377"/>
      <c r="P13" s="377"/>
      <c r="Q13" s="377"/>
      <c r="R13" s="377"/>
      <c r="S13" s="377"/>
      <c r="T13" s="377"/>
      <c r="U13" s="377"/>
      <c r="V13" s="377"/>
      <c r="W13" s="377"/>
      <c r="X13" s="378"/>
    </row>
    <row r="14" spans="2:24" s="52" customFormat="1" ht="57.75" thickBot="1">
      <c r="B14" s="73" t="s">
        <v>182</v>
      </c>
      <c r="C14" s="74" t="s">
        <v>183</v>
      </c>
      <c r="D14" s="75" t="s">
        <v>184</v>
      </c>
      <c r="E14" s="75" t="s">
        <v>185</v>
      </c>
      <c r="F14" s="75" t="s">
        <v>186</v>
      </c>
      <c r="G14" s="76" t="s">
        <v>187</v>
      </c>
      <c r="H14" s="74" t="s">
        <v>183</v>
      </c>
      <c r="I14" s="75" t="s">
        <v>188</v>
      </c>
      <c r="J14" s="75" t="s">
        <v>189</v>
      </c>
      <c r="K14" s="75" t="s">
        <v>190</v>
      </c>
      <c r="L14" s="76" t="s">
        <v>187</v>
      </c>
      <c r="N14" s="86" t="s">
        <v>191</v>
      </c>
      <c r="O14" s="87" t="s">
        <v>192</v>
      </c>
      <c r="P14" s="87" t="s">
        <v>193</v>
      </c>
      <c r="Q14" s="87" t="s">
        <v>194</v>
      </c>
      <c r="R14" s="87" t="s">
        <v>195</v>
      </c>
      <c r="S14" s="87" t="s">
        <v>196</v>
      </c>
      <c r="T14" s="87" t="s">
        <v>197</v>
      </c>
      <c r="U14" s="87" t="s">
        <v>198</v>
      </c>
      <c r="V14" s="87" t="s">
        <v>199</v>
      </c>
      <c r="W14" s="87" t="s">
        <v>200</v>
      </c>
      <c r="X14" s="88" t="s">
        <v>201</v>
      </c>
    </row>
    <row r="15" spans="2:24" ht="33" customHeight="1">
      <c r="B15" s="27" t="s">
        <v>202</v>
      </c>
      <c r="C15" s="32" t="s">
        <v>203</v>
      </c>
      <c r="D15" s="33">
        <v>89955</v>
      </c>
      <c r="E15" s="33">
        <v>55709</v>
      </c>
      <c r="F15" s="33">
        <v>55709</v>
      </c>
      <c r="G15" s="34">
        <f>D15/F15</f>
        <v>1.6147301154212066</v>
      </c>
      <c r="H15" s="45" t="s">
        <v>203</v>
      </c>
      <c r="I15" s="33">
        <v>35193</v>
      </c>
      <c r="J15" s="33"/>
      <c r="K15" s="33">
        <v>0</v>
      </c>
      <c r="L15" s="34" t="s">
        <v>70</v>
      </c>
      <c r="N15" s="83" t="s">
        <v>204</v>
      </c>
      <c r="O15" s="84">
        <v>10283</v>
      </c>
      <c r="P15" s="84">
        <v>20978</v>
      </c>
      <c r="Q15" s="84">
        <v>26536</v>
      </c>
      <c r="R15" s="84">
        <v>37396</v>
      </c>
      <c r="S15" s="84">
        <v>34724</v>
      </c>
      <c r="T15" s="84">
        <v>28336</v>
      </c>
      <c r="U15" s="84">
        <v>33496.606</v>
      </c>
      <c r="V15" s="84">
        <v>18944.617999999999</v>
      </c>
      <c r="W15" s="84">
        <v>40705.535000000003</v>
      </c>
      <c r="X15" s="85">
        <v>15109</v>
      </c>
    </row>
    <row r="16" spans="2:24" s="52" customFormat="1" ht="33" customHeight="1">
      <c r="B16" s="28" t="s">
        <v>205</v>
      </c>
      <c r="C16" s="35" t="s">
        <v>203</v>
      </c>
      <c r="D16" s="36">
        <v>129748</v>
      </c>
      <c r="E16" s="36">
        <v>113186</v>
      </c>
      <c r="F16" s="36">
        <v>113186</v>
      </c>
      <c r="G16" s="37">
        <f t="shared" ref="G16:G31" si="0">D16/F16</f>
        <v>1.1463255172901243</v>
      </c>
      <c r="H16" s="46" t="s">
        <v>203</v>
      </c>
      <c r="I16" s="36">
        <v>1903686</v>
      </c>
      <c r="J16" s="36"/>
      <c r="K16" s="36">
        <v>0</v>
      </c>
      <c r="L16" s="37" t="s">
        <v>70</v>
      </c>
      <c r="N16" s="64" t="s">
        <v>206</v>
      </c>
      <c r="O16" s="66" t="s">
        <v>207</v>
      </c>
      <c r="P16" s="66" t="s">
        <v>207</v>
      </c>
      <c r="Q16" s="66" t="s">
        <v>203</v>
      </c>
      <c r="R16" s="66" t="s">
        <v>203</v>
      </c>
      <c r="S16" s="66" t="s">
        <v>203</v>
      </c>
      <c r="T16" s="66" t="s">
        <v>203</v>
      </c>
      <c r="U16" s="66" t="s">
        <v>203</v>
      </c>
      <c r="V16" s="66" t="s">
        <v>203</v>
      </c>
      <c r="W16" s="66" t="s">
        <v>203</v>
      </c>
      <c r="X16" s="67" t="s">
        <v>203</v>
      </c>
    </row>
    <row r="17" spans="2:24" ht="33" customHeight="1" thickBot="1">
      <c r="B17" s="28" t="s">
        <v>208</v>
      </c>
      <c r="C17" s="35" t="s">
        <v>203</v>
      </c>
      <c r="D17" s="36">
        <v>263374</v>
      </c>
      <c r="E17" s="36">
        <v>181765</v>
      </c>
      <c r="F17" s="36">
        <v>181765</v>
      </c>
      <c r="G17" s="37">
        <f t="shared" si="0"/>
        <v>1.4489808268918658</v>
      </c>
      <c r="H17" s="46" t="s">
        <v>203</v>
      </c>
      <c r="I17" s="36">
        <v>2053110</v>
      </c>
      <c r="J17" s="36"/>
      <c r="K17" s="36">
        <v>0</v>
      </c>
      <c r="L17" s="37" t="s">
        <v>70</v>
      </c>
      <c r="N17" s="68" t="s">
        <v>209</v>
      </c>
      <c r="O17" s="69" t="s">
        <v>210</v>
      </c>
      <c r="P17" s="69" t="s">
        <v>211</v>
      </c>
      <c r="Q17" s="70" t="s">
        <v>212</v>
      </c>
      <c r="R17" s="70" t="s">
        <v>213</v>
      </c>
      <c r="S17" s="70" t="s">
        <v>214</v>
      </c>
      <c r="T17" s="70" t="s">
        <v>215</v>
      </c>
      <c r="U17" s="69" t="s">
        <v>216</v>
      </c>
      <c r="V17" s="71" t="s">
        <v>217</v>
      </c>
      <c r="W17" s="71" t="s">
        <v>217</v>
      </c>
      <c r="X17" s="72"/>
    </row>
    <row r="18" spans="2:24" ht="33" customHeight="1" thickBot="1">
      <c r="B18" s="29" t="s">
        <v>218</v>
      </c>
      <c r="C18" s="38" t="s">
        <v>203</v>
      </c>
      <c r="D18" s="39">
        <f>SUM(D15:D17)</f>
        <v>483077</v>
      </c>
      <c r="E18" s="39">
        <f t="shared" ref="E18:F18" si="1">SUM(E15:E17)</f>
        <v>350660</v>
      </c>
      <c r="F18" s="39">
        <f t="shared" si="1"/>
        <v>350660</v>
      </c>
      <c r="G18" s="40">
        <f t="shared" si="0"/>
        <v>1.3776221981406491</v>
      </c>
      <c r="H18" s="47" t="s">
        <v>203</v>
      </c>
      <c r="I18" s="39">
        <f>SUM(I15:I17)</f>
        <v>3991989</v>
      </c>
      <c r="J18" s="39">
        <f t="shared" ref="J18:K18" si="2">SUM(J15:J17)</f>
        <v>0</v>
      </c>
      <c r="K18" s="39">
        <f t="shared" si="2"/>
        <v>0</v>
      </c>
      <c r="L18" s="40" t="s">
        <v>70</v>
      </c>
      <c r="N18" s="56"/>
    </row>
    <row r="19" spans="2:24" ht="33" customHeight="1" thickBot="1">
      <c r="B19" s="28" t="s">
        <v>219</v>
      </c>
      <c r="C19" s="35" t="s">
        <v>203</v>
      </c>
      <c r="D19" s="36">
        <v>353664</v>
      </c>
      <c r="E19" s="36">
        <v>273534</v>
      </c>
      <c r="F19" s="36">
        <v>273534</v>
      </c>
      <c r="G19" s="37">
        <f t="shared" si="0"/>
        <v>1.2929434732062559</v>
      </c>
      <c r="H19" s="46" t="s">
        <v>203</v>
      </c>
      <c r="I19" s="36">
        <v>5771819</v>
      </c>
      <c r="J19" s="36">
        <v>1881446</v>
      </c>
      <c r="K19" s="36">
        <v>1881446</v>
      </c>
      <c r="L19" s="37">
        <f t="shared" ref="L19:L31" si="3">I19/K19</f>
        <v>3.0677569273845755</v>
      </c>
      <c r="N19" s="376" t="s">
        <v>181</v>
      </c>
      <c r="O19" s="377"/>
      <c r="P19" s="377"/>
      <c r="Q19" s="377"/>
      <c r="R19" s="377"/>
      <c r="S19" s="377"/>
      <c r="T19" s="377"/>
      <c r="U19" s="377"/>
      <c r="V19" s="377"/>
      <c r="W19" s="377"/>
      <c r="X19" s="378"/>
    </row>
    <row r="20" spans="2:24" ht="33" customHeight="1" thickBot="1">
      <c r="B20" s="28" t="s">
        <v>220</v>
      </c>
      <c r="C20" s="35" t="s">
        <v>203</v>
      </c>
      <c r="D20" s="36">
        <v>366726</v>
      </c>
      <c r="E20" s="36">
        <v>245871</v>
      </c>
      <c r="F20" s="36">
        <v>245871</v>
      </c>
      <c r="G20" s="37">
        <f t="shared" si="0"/>
        <v>1.4915382456654098</v>
      </c>
      <c r="H20" s="46" t="s">
        <v>203</v>
      </c>
      <c r="I20" s="36">
        <v>6914780</v>
      </c>
      <c r="J20" s="36">
        <v>3762892</v>
      </c>
      <c r="K20" s="36">
        <v>3762892</v>
      </c>
      <c r="L20" s="37">
        <f t="shared" si="3"/>
        <v>1.8376238276304502</v>
      </c>
      <c r="N20" s="86" t="s">
        <v>191</v>
      </c>
      <c r="O20" s="87" t="s">
        <v>192</v>
      </c>
      <c r="P20" s="87" t="s">
        <v>193</v>
      </c>
      <c r="Q20" s="87" t="s">
        <v>194</v>
      </c>
      <c r="R20" s="87" t="s">
        <v>195</v>
      </c>
      <c r="S20" s="87" t="s">
        <v>196</v>
      </c>
      <c r="T20" s="87" t="s">
        <v>197</v>
      </c>
      <c r="U20" s="87" t="s">
        <v>198</v>
      </c>
      <c r="V20" s="87" t="s">
        <v>199</v>
      </c>
      <c r="W20" s="87" t="s">
        <v>200</v>
      </c>
      <c r="X20" s="88" t="s">
        <v>201</v>
      </c>
    </row>
    <row r="21" spans="2:24" ht="33" customHeight="1">
      <c r="B21" s="28" t="s">
        <v>221</v>
      </c>
      <c r="C21" s="35" t="s">
        <v>203</v>
      </c>
      <c r="D21" s="36">
        <v>304624</v>
      </c>
      <c r="E21" s="36">
        <v>216495</v>
      </c>
      <c r="F21" s="36">
        <v>216495</v>
      </c>
      <c r="G21" s="37">
        <f t="shared" si="0"/>
        <v>1.4070717568535069</v>
      </c>
      <c r="H21" s="46" t="s">
        <v>203</v>
      </c>
      <c r="I21" s="36">
        <v>6296042</v>
      </c>
      <c r="J21" s="36">
        <v>5644338</v>
      </c>
      <c r="K21" s="36">
        <v>5644338</v>
      </c>
      <c r="L21" s="37">
        <f t="shared" si="3"/>
        <v>1.1154615474835137</v>
      </c>
      <c r="N21" s="83" t="s">
        <v>222</v>
      </c>
      <c r="O21" s="84"/>
      <c r="P21" s="84"/>
      <c r="Q21" s="84"/>
      <c r="R21" s="84">
        <v>1157810</v>
      </c>
      <c r="S21" s="84">
        <v>1836138</v>
      </c>
      <c r="T21" s="84">
        <v>2220590</v>
      </c>
      <c r="U21" s="84">
        <v>824815</v>
      </c>
      <c r="V21" s="84">
        <v>651005</v>
      </c>
      <c r="W21" s="84">
        <v>1667500</v>
      </c>
      <c r="X21" s="85">
        <v>316324</v>
      </c>
    </row>
    <row r="22" spans="2:24" ht="33" customHeight="1">
      <c r="B22" s="29" t="s">
        <v>223</v>
      </c>
      <c r="C22" s="38" t="s">
        <v>203</v>
      </c>
      <c r="D22" s="39">
        <f>SUM(D19:D21)</f>
        <v>1025014</v>
      </c>
      <c r="E22" s="39">
        <f t="shared" ref="E22" si="4">SUM(E19:E21)</f>
        <v>735900</v>
      </c>
      <c r="F22" s="39">
        <f t="shared" ref="F22" si="5">SUM(F19:F21)</f>
        <v>735900</v>
      </c>
      <c r="G22" s="40">
        <f t="shared" si="0"/>
        <v>1.3928713140372333</v>
      </c>
      <c r="H22" s="47" t="s">
        <v>203</v>
      </c>
      <c r="I22" s="39">
        <f>SUM(I19:I21)</f>
        <v>18982641</v>
      </c>
      <c r="J22" s="39">
        <f t="shared" ref="J22:K22" si="6">SUM(J19:J21)</f>
        <v>11288676</v>
      </c>
      <c r="K22" s="39">
        <f t="shared" si="6"/>
        <v>11288676</v>
      </c>
      <c r="L22" s="40">
        <f t="shared" si="3"/>
        <v>1.681564870849336</v>
      </c>
      <c r="N22" s="64" t="s">
        <v>206</v>
      </c>
      <c r="O22" s="66"/>
      <c r="P22" s="66"/>
      <c r="Q22" s="66"/>
      <c r="R22" s="66" t="s">
        <v>203</v>
      </c>
      <c r="S22" s="66" t="s">
        <v>203</v>
      </c>
      <c r="T22" s="66" t="s">
        <v>203</v>
      </c>
      <c r="U22" s="66" t="s">
        <v>203</v>
      </c>
      <c r="V22" s="66" t="s">
        <v>203</v>
      </c>
      <c r="W22" s="66" t="s">
        <v>203</v>
      </c>
      <c r="X22" s="67" t="s">
        <v>203</v>
      </c>
    </row>
    <row r="23" spans="2:24" ht="33" customHeight="1" thickBot="1">
      <c r="B23" s="28" t="s">
        <v>224</v>
      </c>
      <c r="C23" s="41" t="s">
        <v>207</v>
      </c>
      <c r="D23" s="36">
        <v>275564</v>
      </c>
      <c r="E23" s="36">
        <v>223445.99405183073</v>
      </c>
      <c r="F23" s="36">
        <v>223408</v>
      </c>
      <c r="G23" s="37">
        <f t="shared" si="0"/>
        <v>1.2334562773043043</v>
      </c>
      <c r="H23" s="77" t="s">
        <v>207</v>
      </c>
      <c r="I23" s="36">
        <v>6515201</v>
      </c>
      <c r="J23" s="36">
        <v>5194921.4161395058</v>
      </c>
      <c r="K23" s="36">
        <v>5066568</v>
      </c>
      <c r="L23" s="37">
        <f t="shared" si="3"/>
        <v>1.2859199758100552</v>
      </c>
      <c r="N23" s="68" t="s">
        <v>209</v>
      </c>
      <c r="O23" s="69"/>
      <c r="P23" s="69"/>
      <c r="Q23" s="70"/>
      <c r="R23" s="70" t="s">
        <v>213</v>
      </c>
      <c r="S23" s="70" t="s">
        <v>214</v>
      </c>
      <c r="T23" s="70" t="s">
        <v>215</v>
      </c>
      <c r="U23" s="69" t="s">
        <v>216</v>
      </c>
      <c r="V23" s="71"/>
      <c r="W23" s="71"/>
      <c r="X23" s="72"/>
    </row>
    <row r="24" spans="2:24" ht="33" customHeight="1">
      <c r="B24" s="28" t="s">
        <v>225</v>
      </c>
      <c r="C24" s="41" t="s">
        <v>207</v>
      </c>
      <c r="D24" s="36">
        <v>211414</v>
      </c>
      <c r="E24" s="36">
        <v>185278</v>
      </c>
      <c r="F24" s="36">
        <v>180913</v>
      </c>
      <c r="G24" s="37">
        <f t="shared" si="0"/>
        <v>1.1685948494580267</v>
      </c>
      <c r="H24" s="77" t="s">
        <v>207</v>
      </c>
      <c r="I24" s="36">
        <v>6836449</v>
      </c>
      <c r="J24" s="36">
        <v>5433379.4147227583</v>
      </c>
      <c r="K24" s="36">
        <v>5369967</v>
      </c>
      <c r="L24" s="37">
        <f t="shared" si="3"/>
        <v>1.2730895739210315</v>
      </c>
    </row>
    <row r="25" spans="2:24" ht="33" customHeight="1">
      <c r="B25" s="28" t="s">
        <v>226</v>
      </c>
      <c r="C25" s="41" t="s">
        <v>207</v>
      </c>
      <c r="D25" s="36">
        <v>197694</v>
      </c>
      <c r="E25" s="36">
        <v>191603</v>
      </c>
      <c r="F25" s="36">
        <v>174349</v>
      </c>
      <c r="G25" s="37">
        <f t="shared" si="0"/>
        <v>1.13389810093548</v>
      </c>
      <c r="H25" s="77" t="s">
        <v>207</v>
      </c>
      <c r="I25" s="36">
        <v>5868915</v>
      </c>
      <c r="J25" s="36">
        <v>5429061.1936935615</v>
      </c>
      <c r="K25" s="36">
        <v>5369967</v>
      </c>
      <c r="L25" s="37">
        <f t="shared" si="3"/>
        <v>1.092914537463638</v>
      </c>
      <c r="N25" s="56" t="s">
        <v>77</v>
      </c>
    </row>
    <row r="26" spans="2:24" ht="33" customHeight="1">
      <c r="B26" s="28" t="s">
        <v>227</v>
      </c>
      <c r="C26" s="41" t="s">
        <v>207</v>
      </c>
      <c r="D26" s="36">
        <v>91233</v>
      </c>
      <c r="E26" s="36">
        <v>77329</v>
      </c>
      <c r="F26" s="36">
        <v>77329</v>
      </c>
      <c r="G26" s="37">
        <f t="shared" si="0"/>
        <v>1.1798031786263885</v>
      </c>
      <c r="H26" s="77" t="s">
        <v>207</v>
      </c>
      <c r="I26" s="36">
        <v>2947129</v>
      </c>
      <c r="J26" s="36">
        <v>2634576</v>
      </c>
      <c r="K26" s="36">
        <v>2634576</v>
      </c>
      <c r="L26" s="37">
        <f t="shared" si="3"/>
        <v>1.1186350289382427</v>
      </c>
      <c r="N26" s="381" t="s">
        <v>228</v>
      </c>
      <c r="O26" s="382"/>
      <c r="P26" s="382"/>
      <c r="Q26" s="382"/>
      <c r="R26" s="382"/>
      <c r="S26" s="382"/>
      <c r="T26" s="382"/>
      <c r="U26" s="382"/>
      <c r="V26" s="382"/>
      <c r="W26" s="383"/>
    </row>
    <row r="27" spans="2:24" ht="33" customHeight="1">
      <c r="B27" s="29" t="s">
        <v>229</v>
      </c>
      <c r="C27" s="38" t="s">
        <v>207</v>
      </c>
      <c r="D27" s="39">
        <f>SUM(D23:D26)</f>
        <v>775905</v>
      </c>
      <c r="E27" s="39">
        <f t="shared" ref="E27:F27" si="7">SUM(E23:E26)</f>
        <v>677655.99405183073</v>
      </c>
      <c r="F27" s="39">
        <f t="shared" si="7"/>
        <v>655999</v>
      </c>
      <c r="G27" s="40">
        <f t="shared" si="0"/>
        <v>1.1827838152192305</v>
      </c>
      <c r="H27" s="78" t="s">
        <v>207</v>
      </c>
      <c r="I27" s="39">
        <f>SUM(I23:I26)</f>
        <v>22167694</v>
      </c>
      <c r="J27" s="39">
        <f t="shared" ref="J27:K27" si="8">SUM(J23:J26)</f>
        <v>18691938.024555825</v>
      </c>
      <c r="K27" s="39">
        <f t="shared" si="8"/>
        <v>18441078</v>
      </c>
      <c r="L27" s="40">
        <f t="shared" si="3"/>
        <v>1.2020823294603493</v>
      </c>
      <c r="N27" s="387" t="s">
        <v>230</v>
      </c>
      <c r="O27" s="388"/>
      <c r="P27" s="388"/>
      <c r="Q27" s="388"/>
      <c r="R27" s="388"/>
      <c r="S27" s="388"/>
      <c r="T27" s="388"/>
      <c r="U27" s="388"/>
      <c r="V27" s="388"/>
      <c r="W27" s="389"/>
    </row>
    <row r="28" spans="2:24" ht="33" customHeight="1">
      <c r="B28" s="30">
        <v>2018</v>
      </c>
      <c r="C28" s="41" t="s">
        <v>207</v>
      </c>
      <c r="D28" s="36">
        <v>377775</v>
      </c>
      <c r="E28" s="36">
        <v>358145</v>
      </c>
      <c r="F28" s="36">
        <v>358145</v>
      </c>
      <c r="G28" s="37">
        <f t="shared" si="0"/>
        <v>1.0548102025715842</v>
      </c>
      <c r="H28" s="77" t="s">
        <v>207</v>
      </c>
      <c r="I28" s="36">
        <v>7353769</v>
      </c>
      <c r="J28" s="36">
        <v>3716492</v>
      </c>
      <c r="K28" s="36">
        <v>3716492</v>
      </c>
      <c r="L28" s="37">
        <f t="shared" si="3"/>
        <v>1.9786855454014163</v>
      </c>
      <c r="N28" s="57"/>
      <c r="O28" s="57"/>
      <c r="P28" s="57"/>
      <c r="Q28" s="57"/>
      <c r="R28" s="57"/>
      <c r="S28" s="57"/>
      <c r="T28" s="57"/>
      <c r="U28" s="57"/>
      <c r="V28" s="57"/>
      <c r="W28" s="57"/>
    </row>
    <row r="29" spans="2:24" ht="33" customHeight="1">
      <c r="B29" s="30">
        <v>2019</v>
      </c>
      <c r="C29" s="41" t="s">
        <v>207</v>
      </c>
      <c r="D29" s="36">
        <v>344447</v>
      </c>
      <c r="E29" s="36">
        <v>356784</v>
      </c>
      <c r="F29" s="36">
        <v>356663</v>
      </c>
      <c r="G29" s="37">
        <f t="shared" si="0"/>
        <v>0.9657491805990529</v>
      </c>
      <c r="H29" s="77" t="s">
        <v>207</v>
      </c>
      <c r="I29" s="36">
        <v>4188155</v>
      </c>
      <c r="J29" s="36">
        <v>3524551</v>
      </c>
      <c r="K29" s="36">
        <v>3502780</v>
      </c>
      <c r="L29" s="37">
        <f t="shared" si="3"/>
        <v>1.1956660138518549</v>
      </c>
      <c r="N29" s="57"/>
      <c r="O29" s="57"/>
      <c r="P29" s="57"/>
      <c r="Q29" s="57"/>
      <c r="R29" s="57"/>
      <c r="S29" s="57"/>
      <c r="T29" s="57"/>
      <c r="U29" s="57"/>
      <c r="V29" s="57"/>
      <c r="W29" s="57"/>
    </row>
    <row r="30" spans="2:24" ht="33" customHeight="1">
      <c r="B30" s="30">
        <v>2020</v>
      </c>
      <c r="C30" s="41" t="s">
        <v>207</v>
      </c>
      <c r="D30" s="36">
        <v>442517</v>
      </c>
      <c r="E30" s="36">
        <v>378765</v>
      </c>
      <c r="F30" s="36">
        <v>370720</v>
      </c>
      <c r="G30" s="37">
        <f t="shared" si="0"/>
        <v>1.193669076391886</v>
      </c>
      <c r="H30" s="77" t="s">
        <v>207</v>
      </c>
      <c r="I30" s="36">
        <v>4296545</v>
      </c>
      <c r="J30" s="36">
        <v>3074613</v>
      </c>
      <c r="K30" s="79">
        <v>3134293</v>
      </c>
      <c r="L30" s="37">
        <f t="shared" si="3"/>
        <v>1.3708179165125915</v>
      </c>
    </row>
    <row r="31" spans="2:24" ht="33" customHeight="1">
      <c r="B31" s="30">
        <v>2021</v>
      </c>
      <c r="C31" s="41" t="s">
        <v>207</v>
      </c>
      <c r="D31" s="211">
        <v>451995</v>
      </c>
      <c r="E31" s="36">
        <v>418850</v>
      </c>
      <c r="F31" s="36">
        <v>446768</v>
      </c>
      <c r="G31" s="37">
        <f t="shared" si="0"/>
        <v>1.0116995845718584</v>
      </c>
      <c r="H31" s="77" t="s">
        <v>207</v>
      </c>
      <c r="I31" s="36">
        <v>3407124</v>
      </c>
      <c r="J31" s="36">
        <v>3129204</v>
      </c>
      <c r="K31" s="79">
        <v>3209155</v>
      </c>
      <c r="L31" s="37">
        <f t="shared" si="3"/>
        <v>1.0616888246282901</v>
      </c>
    </row>
    <row r="32" spans="2:24" ht="33" customHeight="1">
      <c r="B32" s="29" t="s">
        <v>231</v>
      </c>
      <c r="C32" s="38" t="s">
        <v>207</v>
      </c>
      <c r="D32" s="39">
        <f>SUM(D28:D31)</f>
        <v>1616734</v>
      </c>
      <c r="E32" s="39">
        <f t="shared" ref="E32" si="9">SUM(E28:E31)</f>
        <v>1512544</v>
      </c>
      <c r="F32" s="39">
        <f t="shared" ref="F32" si="10">SUM(F28:F31)</f>
        <v>1532296</v>
      </c>
      <c r="G32" s="40">
        <f>D32/F32</f>
        <v>1.0551055409659753</v>
      </c>
      <c r="H32" s="78" t="s">
        <v>207</v>
      </c>
      <c r="I32" s="80">
        <f>SUM(I28:I31)</f>
        <v>19245593</v>
      </c>
      <c r="J32" s="39">
        <f t="shared" ref="J32:K32" si="11">SUM(J28:J31)</f>
        <v>13444860</v>
      </c>
      <c r="K32" s="39">
        <f t="shared" si="11"/>
        <v>13562720</v>
      </c>
      <c r="L32" s="40">
        <f>I32/K32</f>
        <v>1.4190068806257152</v>
      </c>
    </row>
    <row r="33" spans="2:16" ht="33" customHeight="1">
      <c r="B33" s="30">
        <v>2022</v>
      </c>
      <c r="C33" s="41" t="s">
        <v>207</v>
      </c>
      <c r="D33" s="36">
        <f>216708+153806+86892</f>
        <v>457406</v>
      </c>
      <c r="E33" s="36">
        <f>'1- Ex Ante Results'!E86</f>
        <v>437437.37382072001</v>
      </c>
      <c r="F33" s="36">
        <v>419203</v>
      </c>
      <c r="G33" s="37">
        <f>D33/F33</f>
        <v>1.0911324584986271</v>
      </c>
      <c r="H33" s="77" t="s">
        <v>207</v>
      </c>
      <c r="I33" s="36">
        <f>1926934+2171063</f>
        <v>4097997</v>
      </c>
      <c r="J33" s="36">
        <v>3242620</v>
      </c>
      <c r="K33" s="36">
        <v>3358430</v>
      </c>
      <c r="L33" s="37">
        <f>I33/K33</f>
        <v>1.2202121229264864</v>
      </c>
      <c r="P33" s="213"/>
    </row>
    <row r="34" spans="2:16" ht="33" customHeight="1">
      <c r="B34" s="30">
        <v>2023</v>
      </c>
      <c r="C34" s="41" t="s">
        <v>207</v>
      </c>
      <c r="D34" s="36">
        <v>457158</v>
      </c>
      <c r="E34" s="36">
        <v>438166</v>
      </c>
      <c r="F34" s="36">
        <v>381110</v>
      </c>
      <c r="G34" s="37">
        <f>D34/F34</f>
        <v>1.1995434389021542</v>
      </c>
      <c r="H34" s="77" t="s">
        <v>207</v>
      </c>
      <c r="I34" s="36">
        <v>4301120</v>
      </c>
      <c r="J34" s="36">
        <v>3325705</v>
      </c>
      <c r="K34" s="36">
        <v>3447082</v>
      </c>
      <c r="L34" s="37">
        <f t="shared" ref="L34:L36" si="12">I34/K34</f>
        <v>1.2477567983587277</v>
      </c>
      <c r="P34" s="214"/>
    </row>
    <row r="35" spans="2:16" ht="33" customHeight="1">
      <c r="B35" s="30">
        <v>2024</v>
      </c>
      <c r="C35" s="41" t="s">
        <v>207</v>
      </c>
      <c r="D35" s="211">
        <v>438825</v>
      </c>
      <c r="E35" s="211">
        <v>431422</v>
      </c>
      <c r="F35" s="36">
        <v>431422</v>
      </c>
      <c r="G35" s="37">
        <f t="shared" ref="G35:G36" si="13">D35/F35</f>
        <v>1.0171595328935474</v>
      </c>
      <c r="H35" s="77" t="s">
        <v>207</v>
      </c>
      <c r="I35" s="211">
        <v>5552401</v>
      </c>
      <c r="J35" s="211">
        <v>3390229</v>
      </c>
      <c r="K35" s="79">
        <v>3508988</v>
      </c>
      <c r="L35" s="37">
        <f t="shared" si="12"/>
        <v>1.5823368446971036</v>
      </c>
    </row>
    <row r="36" spans="2:16" ht="33" customHeight="1">
      <c r="B36" s="30">
        <v>2025</v>
      </c>
      <c r="C36" s="41" t="s">
        <v>232</v>
      </c>
      <c r="D36" s="211">
        <f>'1- Ex Ante Results'!C86</f>
        <v>58024.760999999999</v>
      </c>
      <c r="E36" s="211">
        <v>394678</v>
      </c>
      <c r="F36" s="36">
        <v>417175</v>
      </c>
      <c r="G36" s="37">
        <f t="shared" si="13"/>
        <v>0.13908973692095644</v>
      </c>
      <c r="H36" s="77" t="s">
        <v>232</v>
      </c>
      <c r="I36" s="211">
        <f>'1- Ex Ante Results'!H86</f>
        <v>576900</v>
      </c>
      <c r="J36" s="211">
        <v>3601435</v>
      </c>
      <c r="K36" s="79">
        <v>3562298</v>
      </c>
      <c r="L36" s="37">
        <f t="shared" si="12"/>
        <v>0.16194602472898112</v>
      </c>
    </row>
    <row r="37" spans="2:16" ht="33" customHeight="1" thickBot="1">
      <c r="B37" s="31" t="s">
        <v>233</v>
      </c>
      <c r="C37" s="42" t="s">
        <v>234</v>
      </c>
      <c r="D37" s="43">
        <f>SUM(D33:D36)</f>
        <v>1411413.7609999999</v>
      </c>
      <c r="E37" s="43">
        <f t="shared" ref="E37" si="14">SUM(E33:E36)</f>
        <v>1701703.37382072</v>
      </c>
      <c r="F37" s="43">
        <f t="shared" ref="F37" si="15">SUM(F33:F36)</f>
        <v>1648910</v>
      </c>
      <c r="G37" s="44">
        <f>D37/F37</f>
        <v>0.85596773686859806</v>
      </c>
      <c r="H37" s="81" t="s">
        <v>234</v>
      </c>
      <c r="I37" s="82">
        <f>SUM(I33:I36)</f>
        <v>14528418</v>
      </c>
      <c r="J37" s="43">
        <f t="shared" ref="J37:K37" si="16">SUM(J33:J36)</f>
        <v>13559989</v>
      </c>
      <c r="K37" s="43">
        <f t="shared" si="16"/>
        <v>13876798</v>
      </c>
      <c r="L37" s="44">
        <f>I37/K37</f>
        <v>1.04695751858606</v>
      </c>
    </row>
    <row r="38" spans="2:16" ht="14.45" customHeight="1">
      <c r="B38" s="58"/>
      <c r="C38" s="59"/>
      <c r="D38" s="60"/>
      <c r="E38" s="60"/>
      <c r="F38" s="60"/>
      <c r="G38" s="61"/>
      <c r="H38" s="61"/>
      <c r="I38" s="61"/>
      <c r="J38" s="61"/>
      <c r="K38" s="61"/>
      <c r="L38" s="61"/>
    </row>
    <row r="39" spans="2:16">
      <c r="B39" s="56" t="s">
        <v>77</v>
      </c>
    </row>
    <row r="40" spans="2:16" ht="46.35" customHeight="1">
      <c r="B40" s="380" t="s">
        <v>235</v>
      </c>
      <c r="C40" s="380"/>
      <c r="D40" s="380"/>
      <c r="E40" s="380"/>
      <c r="F40" s="380"/>
      <c r="G40" s="380"/>
      <c r="H40" s="62"/>
      <c r="I40" s="62"/>
      <c r="J40" s="62"/>
      <c r="K40" s="62"/>
      <c r="L40" s="62"/>
    </row>
    <row r="41" spans="2:16" ht="42.75" customHeight="1">
      <c r="B41" s="380" t="s">
        <v>236</v>
      </c>
      <c r="C41" s="380"/>
      <c r="D41" s="380"/>
      <c r="E41" s="380"/>
      <c r="F41" s="380"/>
      <c r="G41" s="380"/>
      <c r="H41" s="62"/>
      <c r="I41" s="62"/>
      <c r="J41" s="62"/>
      <c r="K41" s="62"/>
      <c r="L41" s="62"/>
    </row>
    <row r="42" spans="2:16" ht="42" customHeight="1">
      <c r="B42" s="321" t="s">
        <v>237</v>
      </c>
      <c r="C42" s="321"/>
      <c r="D42" s="321"/>
      <c r="E42" s="321"/>
      <c r="F42" s="321"/>
      <c r="G42" s="321"/>
      <c r="H42" s="63"/>
      <c r="I42" s="63"/>
      <c r="J42" s="63"/>
      <c r="K42" s="63"/>
      <c r="L42" s="63"/>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3 G35:G3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48"/>
  <sheetViews>
    <sheetView zoomScaleNormal="100" workbookViewId="0">
      <pane xSplit="2" ySplit="11" topLeftCell="C12" activePane="bottomRight" state="frozen"/>
      <selection pane="bottomRight" activeCell="C12" sqref="C12"/>
      <selection pane="bottomLeft" activeCell="A12" sqref="A12"/>
      <selection pane="topRight" activeCell="C1" sqref="C1"/>
    </sheetView>
  </sheetViews>
  <sheetFormatPr defaultColWidth="9.140625" defaultRowHeight="15"/>
  <cols>
    <col min="1" max="1" width="4.42578125" style="49" customWidth="1"/>
    <col min="2" max="2" width="49.85546875" style="49" customWidth="1"/>
    <col min="3" max="17" width="12.7109375" style="49" customWidth="1"/>
    <col min="18" max="18" width="12.85546875" style="49" customWidth="1"/>
    <col min="19" max="19" width="13.85546875" style="49" customWidth="1"/>
    <col min="20" max="20" width="15.5703125" style="49" customWidth="1"/>
    <col min="21" max="16384" width="9.140625" style="49"/>
  </cols>
  <sheetData>
    <row r="1" spans="2:20">
      <c r="B1" s="50" t="s">
        <v>0</v>
      </c>
    </row>
    <row r="2" spans="2:20">
      <c r="B2" s="50" t="s">
        <v>238</v>
      </c>
    </row>
    <row r="3" spans="2:20">
      <c r="B3" s="50" t="s">
        <v>2</v>
      </c>
    </row>
    <row r="4" spans="2:20">
      <c r="B4" s="50"/>
    </row>
    <row r="5" spans="2:20" ht="22.35" customHeight="1">
      <c r="B5" s="328" t="s">
        <v>239</v>
      </c>
      <c r="C5" s="328"/>
      <c r="D5" s="328"/>
      <c r="E5" s="328"/>
      <c r="F5" s="328"/>
      <c r="G5" s="328"/>
      <c r="H5" s="328"/>
      <c r="I5" s="328"/>
      <c r="J5" s="328"/>
      <c r="K5" s="328"/>
    </row>
    <row r="6" spans="2:20" ht="21" customHeight="1">
      <c r="B6" s="328"/>
      <c r="C6" s="328"/>
      <c r="D6" s="328"/>
      <c r="E6" s="328"/>
      <c r="F6" s="328"/>
      <c r="G6" s="328"/>
      <c r="H6" s="328"/>
      <c r="I6" s="328"/>
      <c r="J6" s="328"/>
      <c r="K6" s="328"/>
    </row>
    <row r="7" spans="2:20" ht="21" customHeight="1">
      <c r="B7" s="328"/>
      <c r="C7" s="328"/>
      <c r="D7" s="328"/>
      <c r="E7" s="328"/>
      <c r="F7" s="328"/>
      <c r="G7" s="328"/>
      <c r="H7" s="328"/>
      <c r="I7" s="328"/>
      <c r="J7" s="328"/>
      <c r="K7" s="328"/>
    </row>
    <row r="8" spans="2:20" ht="16.5">
      <c r="B8" s="115"/>
      <c r="C8" s="115"/>
      <c r="D8" s="115"/>
      <c r="E8" s="115"/>
      <c r="F8" s="115"/>
      <c r="G8" s="115"/>
      <c r="H8" s="115"/>
      <c r="I8" s="115"/>
      <c r="J8" s="115"/>
      <c r="K8" s="115"/>
      <c r="L8" s="115"/>
    </row>
    <row r="9" spans="2:20" ht="16.5">
      <c r="B9" s="55" t="s">
        <v>240</v>
      </c>
      <c r="C9" s="55"/>
      <c r="D9" s="138"/>
      <c r="E9" s="138"/>
      <c r="F9" s="139"/>
      <c r="G9" s="139"/>
      <c r="H9" s="139"/>
      <c r="I9" s="139"/>
      <c r="J9" s="139"/>
      <c r="K9" s="139"/>
      <c r="L9" s="139"/>
    </row>
    <row r="10" spans="2:20" ht="16.5">
      <c r="B10" s="138"/>
      <c r="C10" s="138"/>
      <c r="D10" s="138"/>
      <c r="E10" s="138"/>
      <c r="F10" s="139"/>
      <c r="G10" s="139"/>
      <c r="H10" s="139"/>
      <c r="I10" s="139"/>
      <c r="J10" s="139"/>
      <c r="K10" s="139"/>
      <c r="L10" s="139"/>
    </row>
    <row r="11" spans="2:20" ht="28.5">
      <c r="B11" s="3" t="s">
        <v>241</v>
      </c>
      <c r="C11" s="2" t="s">
        <v>192</v>
      </c>
      <c r="D11" s="2" t="s">
        <v>193</v>
      </c>
      <c r="E11" s="2" t="s">
        <v>194</v>
      </c>
      <c r="F11" s="2" t="s">
        <v>195</v>
      </c>
      <c r="G11" s="2" t="s">
        <v>196</v>
      </c>
      <c r="H11" s="2" t="s">
        <v>197</v>
      </c>
      <c r="I11" s="2" t="s">
        <v>198</v>
      </c>
      <c r="J11" s="2" t="s">
        <v>199</v>
      </c>
      <c r="K11" s="2" t="s">
        <v>200</v>
      </c>
      <c r="L11" s="1" t="s">
        <v>201</v>
      </c>
      <c r="M11" s="1">
        <v>2018</v>
      </c>
      <c r="N11" s="1">
        <v>2019</v>
      </c>
      <c r="O11" s="1">
        <v>2020</v>
      </c>
      <c r="P11" s="1">
        <v>2021</v>
      </c>
      <c r="Q11" s="1">
        <v>2022</v>
      </c>
      <c r="R11" s="1">
        <v>2023</v>
      </c>
      <c r="S11" s="1">
        <v>2024</v>
      </c>
      <c r="T11" s="1">
        <v>2025</v>
      </c>
    </row>
    <row r="12" spans="2:20">
      <c r="B12" s="140" t="s">
        <v>242</v>
      </c>
      <c r="C12" s="154">
        <v>100238</v>
      </c>
      <c r="D12" s="154">
        <v>150726</v>
      </c>
      <c r="E12" s="154">
        <v>289910</v>
      </c>
      <c r="F12" s="154">
        <v>391060</v>
      </c>
      <c r="G12" s="154">
        <v>401450</v>
      </c>
      <c r="H12" s="154">
        <v>404319</v>
      </c>
      <c r="I12" s="154">
        <v>379998.60600000003</v>
      </c>
      <c r="J12" s="154">
        <v>452177.61800000002</v>
      </c>
      <c r="K12" s="154">
        <v>440264.53500000003</v>
      </c>
      <c r="L12" s="154">
        <v>106342</v>
      </c>
      <c r="M12" s="155">
        <v>377775</v>
      </c>
      <c r="N12" s="155">
        <v>344447</v>
      </c>
      <c r="O12" s="155">
        <v>442517</v>
      </c>
      <c r="P12" s="155">
        <f>'3- Energy'!D31</f>
        <v>451995</v>
      </c>
      <c r="Q12" s="155">
        <f>'3- Energy'!E33</f>
        <v>437437.37382072001</v>
      </c>
      <c r="R12" s="155">
        <v>442609</v>
      </c>
      <c r="S12" s="155">
        <v>438825</v>
      </c>
      <c r="T12" s="155">
        <f>'1- Ex Ante Results'!C86</f>
        <v>58024.760999999999</v>
      </c>
    </row>
    <row r="13" spans="2:20">
      <c r="B13" s="140" t="s">
        <v>243</v>
      </c>
      <c r="C13" s="154">
        <v>70883</v>
      </c>
      <c r="D13" s="154">
        <v>106586</v>
      </c>
      <c r="E13" s="154">
        <v>205010</v>
      </c>
      <c r="F13" s="154">
        <v>276538</v>
      </c>
      <c r="G13" s="154">
        <v>283886</v>
      </c>
      <c r="H13" s="154">
        <v>285915</v>
      </c>
      <c r="I13" s="154">
        <v>268717</v>
      </c>
      <c r="J13" s="154">
        <v>306361</v>
      </c>
      <c r="K13" s="154">
        <v>282549</v>
      </c>
      <c r="L13" s="154">
        <v>75200</v>
      </c>
      <c r="M13" s="155">
        <v>267144</v>
      </c>
      <c r="N13" s="155">
        <v>243538</v>
      </c>
      <c r="O13" s="155">
        <v>313509</v>
      </c>
      <c r="P13" s="155">
        <v>312893</v>
      </c>
      <c r="Q13" s="155">
        <v>318113</v>
      </c>
      <c r="R13" s="155">
        <v>313669</v>
      </c>
      <c r="S13" s="155">
        <v>294825</v>
      </c>
      <c r="T13" s="155">
        <v>37453</v>
      </c>
    </row>
    <row r="14" spans="2:20">
      <c r="B14" s="140" t="s">
        <v>244</v>
      </c>
      <c r="C14" s="154">
        <v>15050</v>
      </c>
      <c r="D14" s="154">
        <v>22630</v>
      </c>
      <c r="E14" s="154">
        <v>43527</v>
      </c>
      <c r="F14" s="154">
        <v>58713</v>
      </c>
      <c r="G14" s="154">
        <v>60273</v>
      </c>
      <c r="H14" s="154">
        <v>60704</v>
      </c>
      <c r="I14" s="154">
        <v>57052</v>
      </c>
      <c r="J14" s="154">
        <v>65045</v>
      </c>
      <c r="K14" s="154">
        <v>59989</v>
      </c>
      <c r="L14" s="154">
        <v>15966</v>
      </c>
      <c r="M14" s="155">
        <v>56718</v>
      </c>
      <c r="N14" s="155">
        <v>52615</v>
      </c>
      <c r="O14" s="155">
        <v>68182</v>
      </c>
      <c r="P14" s="155">
        <v>68048</v>
      </c>
      <c r="Q14" s="155">
        <v>68543</v>
      </c>
      <c r="R14" s="155">
        <v>69801</v>
      </c>
      <c r="S14" s="155">
        <v>68769</v>
      </c>
      <c r="T14" s="155">
        <v>33077</v>
      </c>
    </row>
    <row r="15" spans="2:20">
      <c r="B15" s="140" t="s">
        <v>245</v>
      </c>
      <c r="C15" s="154">
        <v>83424</v>
      </c>
      <c r="D15" s="154">
        <v>125443</v>
      </c>
      <c r="E15" s="154">
        <v>241281</v>
      </c>
      <c r="F15" s="154">
        <v>325464</v>
      </c>
      <c r="G15" s="154">
        <v>334111</v>
      </c>
      <c r="H15" s="154">
        <v>336499</v>
      </c>
      <c r="I15" s="154">
        <v>316259</v>
      </c>
      <c r="J15" s="154">
        <v>360563</v>
      </c>
      <c r="K15" s="154">
        <v>332538</v>
      </c>
      <c r="L15" s="154">
        <v>88504</v>
      </c>
      <c r="M15" s="155">
        <v>314408</v>
      </c>
      <c r="N15" s="155">
        <v>318049</v>
      </c>
      <c r="O15" s="155">
        <v>384104</v>
      </c>
      <c r="P15" s="155">
        <v>383350</v>
      </c>
      <c r="Q15" s="155">
        <v>376466</v>
      </c>
      <c r="R15" s="155">
        <v>374056</v>
      </c>
      <c r="S15" s="155">
        <v>295727</v>
      </c>
      <c r="T15" s="155">
        <v>37568</v>
      </c>
    </row>
    <row r="16" spans="2:20">
      <c r="B16" s="140" t="s">
        <v>246</v>
      </c>
      <c r="C16" s="154">
        <v>8488</v>
      </c>
      <c r="D16" s="154">
        <v>12763</v>
      </c>
      <c r="E16" s="154">
        <v>24549</v>
      </c>
      <c r="F16" s="154">
        <v>33114</v>
      </c>
      <c r="G16" s="154">
        <v>33994</v>
      </c>
      <c r="H16" s="154">
        <v>34237</v>
      </c>
      <c r="I16" s="154">
        <v>32178</v>
      </c>
      <c r="J16" s="154">
        <v>36686</v>
      </c>
      <c r="K16" s="154">
        <v>33834</v>
      </c>
      <c r="L16" s="154">
        <v>9005</v>
      </c>
      <c r="M16" s="155">
        <v>31989</v>
      </c>
      <c r="N16" s="155">
        <v>28103</v>
      </c>
      <c r="O16" s="155">
        <v>37754</v>
      </c>
      <c r="P16" s="155">
        <v>37680</v>
      </c>
      <c r="Q16" s="155">
        <v>40070</v>
      </c>
      <c r="R16" s="155">
        <v>39533</v>
      </c>
      <c r="S16" s="155">
        <v>39594</v>
      </c>
      <c r="T16" s="155">
        <v>5030</v>
      </c>
    </row>
    <row r="17" spans="2:20">
      <c r="B17" s="141" t="s">
        <v>247</v>
      </c>
      <c r="C17" s="154" t="s">
        <v>248</v>
      </c>
      <c r="D17" s="154" t="s">
        <v>248</v>
      </c>
      <c r="E17" s="154" t="s">
        <v>248</v>
      </c>
      <c r="F17" s="154" t="s">
        <v>248</v>
      </c>
      <c r="G17" s="154" t="s">
        <v>248</v>
      </c>
      <c r="H17" s="154" t="s">
        <v>248</v>
      </c>
      <c r="I17" s="154" t="s">
        <v>248</v>
      </c>
      <c r="J17" s="154" t="s">
        <v>248</v>
      </c>
      <c r="K17" s="154" t="s">
        <v>248</v>
      </c>
      <c r="L17" s="154" t="s">
        <v>248</v>
      </c>
      <c r="M17" s="156" t="s">
        <v>248</v>
      </c>
      <c r="N17" s="156" t="s">
        <v>249</v>
      </c>
      <c r="O17" s="156" t="s">
        <v>249</v>
      </c>
      <c r="P17" s="156" t="s">
        <v>249</v>
      </c>
      <c r="Q17" s="156" t="s">
        <v>249</v>
      </c>
      <c r="R17" s="156" t="s">
        <v>249</v>
      </c>
      <c r="S17" s="156" t="s">
        <v>249</v>
      </c>
      <c r="T17" s="156" t="s">
        <v>249</v>
      </c>
    </row>
    <row r="18" spans="2:20" s="52" customFormat="1">
      <c r="B18" s="118" t="s">
        <v>250</v>
      </c>
      <c r="C18" s="157" t="s">
        <v>248</v>
      </c>
      <c r="D18" s="157" t="s">
        <v>248</v>
      </c>
      <c r="E18" s="157" t="s">
        <v>248</v>
      </c>
      <c r="F18" s="157" t="s">
        <v>248</v>
      </c>
      <c r="G18" s="157" t="s">
        <v>248</v>
      </c>
      <c r="H18" s="157" t="s">
        <v>248</v>
      </c>
      <c r="I18" s="157" t="s">
        <v>248</v>
      </c>
      <c r="J18" s="157" t="s">
        <v>248</v>
      </c>
      <c r="K18" s="157" t="s">
        <v>248</v>
      </c>
      <c r="L18" s="154" t="s">
        <v>248</v>
      </c>
      <c r="M18" s="156" t="s">
        <v>248</v>
      </c>
      <c r="N18" s="156" t="s">
        <v>249</v>
      </c>
      <c r="O18" s="156" t="s">
        <v>249</v>
      </c>
      <c r="P18" s="156" t="s">
        <v>249</v>
      </c>
      <c r="Q18" s="156" t="s">
        <v>249</v>
      </c>
      <c r="R18" s="156" t="s">
        <v>249</v>
      </c>
      <c r="S18" s="156" t="s">
        <v>249</v>
      </c>
      <c r="T18" s="156" t="s">
        <v>249</v>
      </c>
    </row>
    <row r="19" spans="2:20" s="52" customFormat="1">
      <c r="B19" s="151"/>
      <c r="C19" s="152"/>
      <c r="D19" s="152"/>
      <c r="E19" s="152"/>
      <c r="F19" s="152"/>
      <c r="G19" s="152"/>
      <c r="H19" s="152"/>
      <c r="I19" s="152"/>
      <c r="J19" s="152"/>
      <c r="K19" s="152"/>
      <c r="L19" s="153"/>
    </row>
    <row r="20" spans="2:20" s="52" customFormat="1" ht="28.5">
      <c r="B20" s="3" t="s">
        <v>251</v>
      </c>
      <c r="C20" s="2" t="s">
        <v>192</v>
      </c>
      <c r="D20" s="2" t="s">
        <v>193</v>
      </c>
      <c r="E20" s="2" t="s">
        <v>194</v>
      </c>
      <c r="F20" s="2" t="s">
        <v>195</v>
      </c>
      <c r="G20" s="2" t="s">
        <v>196</v>
      </c>
      <c r="H20" s="2" t="s">
        <v>197</v>
      </c>
      <c r="I20" s="2" t="s">
        <v>198</v>
      </c>
      <c r="J20" s="2" t="s">
        <v>199</v>
      </c>
      <c r="K20" s="2" t="s">
        <v>200</v>
      </c>
      <c r="L20" s="1" t="s">
        <v>201</v>
      </c>
      <c r="M20" s="1">
        <v>2018</v>
      </c>
      <c r="N20" s="1">
        <v>2019</v>
      </c>
      <c r="O20" s="1">
        <v>2020</v>
      </c>
      <c r="P20" s="1">
        <v>2021</v>
      </c>
      <c r="Q20" s="1">
        <v>2022</v>
      </c>
      <c r="R20" s="1">
        <v>2023</v>
      </c>
      <c r="S20" s="1">
        <v>2024</v>
      </c>
      <c r="T20" s="1">
        <v>2025</v>
      </c>
    </row>
    <row r="21" spans="2:20" s="52" customFormat="1">
      <c r="B21" s="140" t="s">
        <v>242</v>
      </c>
      <c r="C21" s="154">
        <v>35193</v>
      </c>
      <c r="D21" s="154">
        <v>1903686</v>
      </c>
      <c r="E21" s="154">
        <v>2053110</v>
      </c>
      <c r="F21" s="154">
        <v>6929629</v>
      </c>
      <c r="G21" s="154">
        <v>8750918</v>
      </c>
      <c r="H21" s="154">
        <v>8516632</v>
      </c>
      <c r="I21" s="154">
        <v>7340016</v>
      </c>
      <c r="J21" s="154">
        <v>7487454</v>
      </c>
      <c r="K21" s="154">
        <v>7536415</v>
      </c>
      <c r="L21" s="154">
        <v>3263453</v>
      </c>
      <c r="M21" s="155">
        <v>7353769</v>
      </c>
      <c r="N21" s="155">
        <v>4188155</v>
      </c>
      <c r="O21" s="155">
        <v>4296545</v>
      </c>
      <c r="P21" s="155">
        <v>3407122</v>
      </c>
      <c r="Q21" s="155">
        <v>4137643.38466</v>
      </c>
      <c r="R21" s="155">
        <v>4010582</v>
      </c>
      <c r="S21" s="155">
        <v>5552401</v>
      </c>
      <c r="T21" s="155">
        <f>'1- Ex Ante Results'!H86</f>
        <v>576900</v>
      </c>
    </row>
    <row r="22" spans="2:20" s="52" customFormat="1">
      <c r="B22" s="140" t="s">
        <v>243</v>
      </c>
      <c r="C22" s="154">
        <v>187</v>
      </c>
      <c r="D22" s="154">
        <v>10093</v>
      </c>
      <c r="E22" s="154">
        <v>10886</v>
      </c>
      <c r="F22" s="154">
        <v>36741</v>
      </c>
      <c r="G22" s="154">
        <v>46397</v>
      </c>
      <c r="H22" s="154">
        <v>45155</v>
      </c>
      <c r="I22" s="154">
        <v>38917</v>
      </c>
      <c r="J22" s="154">
        <v>39616</v>
      </c>
      <c r="K22" s="154">
        <v>39875</v>
      </c>
      <c r="L22" s="154">
        <v>17303</v>
      </c>
      <c r="M22" s="155">
        <v>38990</v>
      </c>
      <c r="N22" s="155">
        <v>22160</v>
      </c>
      <c r="O22" s="155">
        <v>22735</v>
      </c>
      <c r="P22" s="155">
        <v>18229</v>
      </c>
      <c r="Q22" s="155">
        <v>21892</v>
      </c>
      <c r="R22" s="223">
        <v>21220</v>
      </c>
      <c r="S22" s="223">
        <v>29378</v>
      </c>
      <c r="T22" s="223">
        <v>3052</v>
      </c>
    </row>
    <row r="23" spans="2:20" s="52" customFormat="1">
      <c r="B23" s="140" t="s">
        <v>244</v>
      </c>
      <c r="C23" s="154">
        <v>39.6</v>
      </c>
      <c r="D23" s="154">
        <v>2143</v>
      </c>
      <c r="E23" s="154">
        <v>2331</v>
      </c>
      <c r="F23" s="154">
        <v>7801</v>
      </c>
      <c r="G23" s="154">
        <v>9851</v>
      </c>
      <c r="H23" s="154">
        <v>9587</v>
      </c>
      <c r="I23" s="154">
        <v>8263</v>
      </c>
      <c r="J23" s="154">
        <v>8411</v>
      </c>
      <c r="K23" s="154">
        <v>8466</v>
      </c>
      <c r="L23" s="154">
        <v>3674</v>
      </c>
      <c r="M23" s="155">
        <v>8278</v>
      </c>
      <c r="N23" s="155">
        <v>4787</v>
      </c>
      <c r="O23" s="155">
        <v>4944</v>
      </c>
      <c r="P23" s="155">
        <v>3964</v>
      </c>
      <c r="Q23" s="155">
        <v>4717</v>
      </c>
      <c r="R23" s="223">
        <v>4722</v>
      </c>
      <c r="S23" s="223">
        <v>25945</v>
      </c>
      <c r="T23" s="223">
        <v>712</v>
      </c>
    </row>
    <row r="24" spans="2:20" s="52" customFormat="1">
      <c r="B24" s="140" t="s">
        <v>245</v>
      </c>
      <c r="C24" s="154">
        <v>220</v>
      </c>
      <c r="D24" s="154">
        <v>11879</v>
      </c>
      <c r="E24" s="154">
        <v>12811</v>
      </c>
      <c r="F24" s="154">
        <v>43241</v>
      </c>
      <c r="G24" s="154">
        <v>54606</v>
      </c>
      <c r="H24" s="154">
        <v>53144</v>
      </c>
      <c r="I24" s="154">
        <v>45802</v>
      </c>
      <c r="J24" s="154">
        <v>51737</v>
      </c>
      <c r="K24" s="154">
        <v>52075</v>
      </c>
      <c r="L24" s="154">
        <v>20364</v>
      </c>
      <c r="M24" s="155">
        <v>45888</v>
      </c>
      <c r="N24" s="155">
        <v>28939</v>
      </c>
      <c r="O24" s="155">
        <v>27855</v>
      </c>
      <c r="P24" s="155">
        <v>22334</v>
      </c>
      <c r="Q24" s="155">
        <v>25908</v>
      </c>
      <c r="R24" s="223">
        <v>25305</v>
      </c>
      <c r="S24" s="223">
        <v>29468</v>
      </c>
      <c r="T24" s="223">
        <v>3062</v>
      </c>
    </row>
    <row r="25" spans="2:20" s="52" customFormat="1">
      <c r="B25" s="140" t="s">
        <v>246</v>
      </c>
      <c r="C25" s="154">
        <v>22.3</v>
      </c>
      <c r="D25" s="154">
        <v>1209</v>
      </c>
      <c r="E25" s="154">
        <v>1304</v>
      </c>
      <c r="F25" s="154">
        <v>4400</v>
      </c>
      <c r="G25" s="154">
        <v>5556</v>
      </c>
      <c r="H25" s="154">
        <v>5407</v>
      </c>
      <c r="I25" s="154">
        <v>4660</v>
      </c>
      <c r="J25" s="154">
        <v>4571</v>
      </c>
      <c r="K25" s="154">
        <v>4601</v>
      </c>
      <c r="L25" s="154">
        <v>2072</v>
      </c>
      <c r="M25" s="155">
        <v>4669</v>
      </c>
      <c r="N25" s="155">
        <v>2557</v>
      </c>
      <c r="O25" s="155">
        <v>2738</v>
      </c>
      <c r="P25" s="155">
        <v>2195</v>
      </c>
      <c r="Q25" s="155">
        <v>2758</v>
      </c>
      <c r="R25" s="223">
        <v>2674</v>
      </c>
      <c r="S25" s="223">
        <v>3945</v>
      </c>
      <c r="T25" s="223">
        <v>410</v>
      </c>
    </row>
    <row r="26" spans="2:20" s="52" customFormat="1">
      <c r="B26" s="141" t="s">
        <v>247</v>
      </c>
      <c r="C26" s="154" t="s">
        <v>248</v>
      </c>
      <c r="D26" s="154" t="s">
        <v>248</v>
      </c>
      <c r="E26" s="154" t="s">
        <v>248</v>
      </c>
      <c r="F26" s="154" t="s">
        <v>248</v>
      </c>
      <c r="G26" s="154" t="s">
        <v>248</v>
      </c>
      <c r="H26" s="154" t="s">
        <v>248</v>
      </c>
      <c r="I26" s="154" t="s">
        <v>248</v>
      </c>
      <c r="J26" s="154" t="s">
        <v>248</v>
      </c>
      <c r="K26" s="154" t="s">
        <v>248</v>
      </c>
      <c r="L26" s="154" t="s">
        <v>248</v>
      </c>
      <c r="M26" s="156" t="s">
        <v>248</v>
      </c>
      <c r="N26" s="156" t="s">
        <v>249</v>
      </c>
      <c r="O26" s="156" t="s">
        <v>249</v>
      </c>
      <c r="P26" s="156" t="s">
        <v>249</v>
      </c>
      <c r="Q26" s="156" t="s">
        <v>249</v>
      </c>
      <c r="R26" s="156" t="s">
        <v>249</v>
      </c>
      <c r="S26" s="156" t="s">
        <v>249</v>
      </c>
      <c r="T26" s="156" t="s">
        <v>249</v>
      </c>
    </row>
    <row r="27" spans="2:20" s="52" customFormat="1">
      <c r="B27" s="118" t="s">
        <v>250</v>
      </c>
      <c r="C27" s="157" t="s">
        <v>248</v>
      </c>
      <c r="D27" s="157" t="s">
        <v>248</v>
      </c>
      <c r="E27" s="157" t="s">
        <v>248</v>
      </c>
      <c r="F27" s="157" t="s">
        <v>248</v>
      </c>
      <c r="G27" s="157" t="s">
        <v>248</v>
      </c>
      <c r="H27" s="157" t="s">
        <v>248</v>
      </c>
      <c r="I27" s="157" t="s">
        <v>248</v>
      </c>
      <c r="J27" s="157" t="s">
        <v>248</v>
      </c>
      <c r="K27" s="157" t="s">
        <v>248</v>
      </c>
      <c r="L27" s="154" t="s">
        <v>248</v>
      </c>
      <c r="M27" s="156" t="s">
        <v>248</v>
      </c>
      <c r="N27" s="156" t="s">
        <v>249</v>
      </c>
      <c r="O27" s="156" t="s">
        <v>249</v>
      </c>
      <c r="P27" s="156" t="s">
        <v>249</v>
      </c>
      <c r="Q27" s="156" t="s">
        <v>249</v>
      </c>
      <c r="R27" s="156" t="s">
        <v>249</v>
      </c>
      <c r="S27" s="156" t="s">
        <v>249</v>
      </c>
      <c r="T27" s="156" t="s">
        <v>249</v>
      </c>
    </row>
    <row r="28" spans="2:20" s="52" customFormat="1">
      <c r="B28" s="151"/>
      <c r="C28" s="152"/>
      <c r="D28" s="152"/>
      <c r="E28" s="152"/>
      <c r="F28" s="152"/>
      <c r="G28" s="152"/>
      <c r="H28" s="152"/>
      <c r="I28" s="152"/>
      <c r="J28" s="152"/>
      <c r="K28" s="152"/>
      <c r="L28" s="153"/>
    </row>
    <row r="29" spans="2:20" s="52" customFormat="1" ht="28.5">
      <c r="B29" s="3" t="s">
        <v>252</v>
      </c>
      <c r="C29" s="2" t="s">
        <v>192</v>
      </c>
      <c r="D29" s="2" t="s">
        <v>193</v>
      </c>
      <c r="E29" s="2" t="s">
        <v>194</v>
      </c>
      <c r="F29" s="2" t="s">
        <v>195</v>
      </c>
      <c r="G29" s="2" t="s">
        <v>196</v>
      </c>
      <c r="H29" s="2" t="s">
        <v>197</v>
      </c>
      <c r="I29" s="2" t="s">
        <v>198</v>
      </c>
      <c r="J29" s="2" t="s">
        <v>199</v>
      </c>
      <c r="K29" s="2" t="s">
        <v>200</v>
      </c>
      <c r="L29" s="1" t="s">
        <v>201</v>
      </c>
      <c r="M29" s="1">
        <v>2018</v>
      </c>
      <c r="N29" s="1">
        <v>2019</v>
      </c>
      <c r="O29" s="1">
        <v>2020</v>
      </c>
      <c r="P29" s="1">
        <v>2021</v>
      </c>
      <c r="Q29" s="1">
        <v>2022</v>
      </c>
      <c r="R29" s="1">
        <v>2023</v>
      </c>
      <c r="S29" s="1">
        <v>2024</v>
      </c>
      <c r="T29" s="1">
        <v>2025</v>
      </c>
    </row>
    <row r="30" spans="2:20" s="52" customFormat="1">
      <c r="B30" s="140" t="s">
        <v>243</v>
      </c>
      <c r="C30" s="154">
        <f>SUM(C13,C22)</f>
        <v>71070</v>
      </c>
      <c r="D30" s="154">
        <f t="shared" ref="D30:P30" si="0">SUM(D13,D22)</f>
        <v>116679</v>
      </c>
      <c r="E30" s="154">
        <f t="shared" si="0"/>
        <v>215896</v>
      </c>
      <c r="F30" s="154">
        <f t="shared" si="0"/>
        <v>313279</v>
      </c>
      <c r="G30" s="154">
        <f t="shared" si="0"/>
        <v>330283</v>
      </c>
      <c r="H30" s="154">
        <f t="shared" si="0"/>
        <v>331070</v>
      </c>
      <c r="I30" s="154">
        <f t="shared" si="0"/>
        <v>307634</v>
      </c>
      <c r="J30" s="154">
        <f t="shared" si="0"/>
        <v>345977</v>
      </c>
      <c r="K30" s="154">
        <f t="shared" si="0"/>
        <v>322424</v>
      </c>
      <c r="L30" s="154">
        <f t="shared" si="0"/>
        <v>92503</v>
      </c>
      <c r="M30" s="154">
        <f t="shared" si="0"/>
        <v>306134</v>
      </c>
      <c r="N30" s="154">
        <f t="shared" si="0"/>
        <v>265698</v>
      </c>
      <c r="O30" s="154">
        <f t="shared" si="0"/>
        <v>336244</v>
      </c>
      <c r="P30" s="154">
        <f t="shared" si="0"/>
        <v>331122</v>
      </c>
      <c r="Q30" s="154">
        <f t="shared" ref="Q30" si="1">SUM(Q13,Q22)</f>
        <v>340005</v>
      </c>
      <c r="R30" s="154">
        <f>SUM(R13,R22)</f>
        <v>334889</v>
      </c>
      <c r="S30" s="154">
        <f>SUM(S13,S22)</f>
        <v>324203</v>
      </c>
      <c r="T30" s="154">
        <f>SUM(T13,T22)</f>
        <v>40505</v>
      </c>
    </row>
    <row r="31" spans="2:20" s="52" customFormat="1">
      <c r="B31" s="140" t="s">
        <v>244</v>
      </c>
      <c r="C31" s="154">
        <f t="shared" ref="C31:P33" si="2">SUM(C14,C23)</f>
        <v>15089.6</v>
      </c>
      <c r="D31" s="154">
        <f t="shared" si="2"/>
        <v>24773</v>
      </c>
      <c r="E31" s="154">
        <f t="shared" si="2"/>
        <v>45858</v>
      </c>
      <c r="F31" s="154">
        <f t="shared" si="2"/>
        <v>66514</v>
      </c>
      <c r="G31" s="154">
        <f t="shared" si="2"/>
        <v>70124</v>
      </c>
      <c r="H31" s="154">
        <f t="shared" si="2"/>
        <v>70291</v>
      </c>
      <c r="I31" s="154">
        <f t="shared" si="2"/>
        <v>65315</v>
      </c>
      <c r="J31" s="154">
        <f t="shared" si="2"/>
        <v>73456</v>
      </c>
      <c r="K31" s="154">
        <f t="shared" si="2"/>
        <v>68455</v>
      </c>
      <c r="L31" s="154">
        <f t="shared" si="2"/>
        <v>19640</v>
      </c>
      <c r="M31" s="154">
        <f t="shared" si="2"/>
        <v>64996</v>
      </c>
      <c r="N31" s="154">
        <f t="shared" si="2"/>
        <v>57402</v>
      </c>
      <c r="O31" s="154">
        <f t="shared" si="2"/>
        <v>73126</v>
      </c>
      <c r="P31" s="154">
        <f t="shared" si="2"/>
        <v>72012</v>
      </c>
      <c r="Q31" s="154">
        <f t="shared" ref="Q31" si="3">SUM(Q14,Q23)</f>
        <v>73260</v>
      </c>
      <c r="R31" s="154">
        <f t="shared" ref="R31:S31" si="4">SUM(R14,R23)</f>
        <v>74523</v>
      </c>
      <c r="S31" s="154">
        <f t="shared" si="4"/>
        <v>94714</v>
      </c>
      <c r="T31" s="154">
        <f t="shared" ref="T31" si="5">SUM(T14,T23)</f>
        <v>33789</v>
      </c>
    </row>
    <row r="32" spans="2:20" s="52" customFormat="1">
      <c r="B32" s="140" t="s">
        <v>245</v>
      </c>
      <c r="C32" s="154">
        <f t="shared" si="2"/>
        <v>83644</v>
      </c>
      <c r="D32" s="154">
        <f t="shared" si="2"/>
        <v>137322</v>
      </c>
      <c r="E32" s="154">
        <f t="shared" si="2"/>
        <v>254092</v>
      </c>
      <c r="F32" s="154">
        <f t="shared" si="2"/>
        <v>368705</v>
      </c>
      <c r="G32" s="154">
        <f t="shared" si="2"/>
        <v>388717</v>
      </c>
      <c r="H32" s="154">
        <f t="shared" si="2"/>
        <v>389643</v>
      </c>
      <c r="I32" s="154">
        <f t="shared" si="2"/>
        <v>362061</v>
      </c>
      <c r="J32" s="154">
        <f t="shared" si="2"/>
        <v>412300</v>
      </c>
      <c r="K32" s="154">
        <f t="shared" si="2"/>
        <v>384613</v>
      </c>
      <c r="L32" s="154">
        <f t="shared" si="2"/>
        <v>108868</v>
      </c>
      <c r="M32" s="154">
        <f t="shared" si="2"/>
        <v>360296</v>
      </c>
      <c r="N32" s="154">
        <f t="shared" si="2"/>
        <v>346988</v>
      </c>
      <c r="O32" s="154">
        <f t="shared" si="2"/>
        <v>411959</v>
      </c>
      <c r="P32" s="154">
        <f t="shared" si="2"/>
        <v>405684</v>
      </c>
      <c r="Q32" s="154">
        <f t="shared" ref="Q32" si="6">SUM(Q15,Q24)</f>
        <v>402374</v>
      </c>
      <c r="R32" s="154">
        <f t="shared" ref="R32:S32" si="7">SUM(R15,R24)</f>
        <v>399361</v>
      </c>
      <c r="S32" s="154">
        <f t="shared" si="7"/>
        <v>325195</v>
      </c>
      <c r="T32" s="154">
        <f t="shared" ref="T32" si="8">SUM(T15,T24)</f>
        <v>40630</v>
      </c>
    </row>
    <row r="33" spans="2:20" s="52" customFormat="1">
      <c r="B33" s="140" t="s">
        <v>246</v>
      </c>
      <c r="C33" s="154">
        <f t="shared" si="2"/>
        <v>8510.2999999999993</v>
      </c>
      <c r="D33" s="154">
        <f t="shared" si="2"/>
        <v>13972</v>
      </c>
      <c r="E33" s="154">
        <f t="shared" si="2"/>
        <v>25853</v>
      </c>
      <c r="F33" s="154">
        <f t="shared" si="2"/>
        <v>37514</v>
      </c>
      <c r="G33" s="154">
        <f t="shared" si="2"/>
        <v>39550</v>
      </c>
      <c r="H33" s="154">
        <f t="shared" si="2"/>
        <v>39644</v>
      </c>
      <c r="I33" s="154">
        <f t="shared" si="2"/>
        <v>36838</v>
      </c>
      <c r="J33" s="154">
        <f t="shared" si="2"/>
        <v>41257</v>
      </c>
      <c r="K33" s="154">
        <f t="shared" si="2"/>
        <v>38435</v>
      </c>
      <c r="L33" s="154">
        <f t="shared" si="2"/>
        <v>11077</v>
      </c>
      <c r="M33" s="154">
        <f t="shared" si="2"/>
        <v>36658</v>
      </c>
      <c r="N33" s="154">
        <f t="shared" si="2"/>
        <v>30660</v>
      </c>
      <c r="O33" s="154">
        <f t="shared" si="2"/>
        <v>40492</v>
      </c>
      <c r="P33" s="154">
        <f t="shared" si="2"/>
        <v>39875</v>
      </c>
      <c r="Q33" s="154">
        <f t="shared" ref="Q33" si="9">SUM(Q16,Q25)</f>
        <v>42828</v>
      </c>
      <c r="R33" s="154">
        <f t="shared" ref="R33:S33" si="10">SUM(R16,R25)</f>
        <v>42207</v>
      </c>
      <c r="S33" s="154">
        <f t="shared" si="10"/>
        <v>43539</v>
      </c>
      <c r="T33" s="154">
        <f t="shared" ref="T33" si="11">SUM(T16,T25)</f>
        <v>5440</v>
      </c>
    </row>
    <row r="34" spans="2:20" s="52" customFormat="1">
      <c r="B34" s="141" t="s">
        <v>247</v>
      </c>
      <c r="C34" s="154" t="s">
        <v>248</v>
      </c>
      <c r="D34" s="154" t="s">
        <v>248</v>
      </c>
      <c r="E34" s="154" t="s">
        <v>248</v>
      </c>
      <c r="F34" s="154" t="s">
        <v>248</v>
      </c>
      <c r="G34" s="154" t="s">
        <v>248</v>
      </c>
      <c r="H34" s="154" t="s">
        <v>248</v>
      </c>
      <c r="I34" s="154" t="s">
        <v>248</v>
      </c>
      <c r="J34" s="154" t="s">
        <v>248</v>
      </c>
      <c r="K34" s="154" t="s">
        <v>248</v>
      </c>
      <c r="L34" s="154" t="s">
        <v>248</v>
      </c>
      <c r="M34" s="154">
        <v>1481</v>
      </c>
      <c r="N34" s="154">
        <v>2955</v>
      </c>
      <c r="O34" s="154">
        <v>4275</v>
      </c>
      <c r="P34" s="154">
        <v>4106</v>
      </c>
      <c r="Q34" s="154">
        <v>3832</v>
      </c>
      <c r="R34" s="154" t="s">
        <v>248</v>
      </c>
      <c r="S34" s="154" t="s">
        <v>248</v>
      </c>
      <c r="T34" s="154" t="s">
        <v>248</v>
      </c>
    </row>
    <row r="35" spans="2:20" s="52" customFormat="1">
      <c r="B35" s="118" t="s">
        <v>250</v>
      </c>
      <c r="C35" s="154" t="s">
        <v>248</v>
      </c>
      <c r="D35" s="154" t="s">
        <v>248</v>
      </c>
      <c r="E35" s="154" t="s">
        <v>248</v>
      </c>
      <c r="F35" s="154" t="s">
        <v>248</v>
      </c>
      <c r="G35" s="154" t="s">
        <v>248</v>
      </c>
      <c r="H35" s="154" t="s">
        <v>248</v>
      </c>
      <c r="I35" s="154" t="s">
        <v>248</v>
      </c>
      <c r="J35" s="154" t="s">
        <v>248</v>
      </c>
      <c r="K35" s="154" t="s">
        <v>248</v>
      </c>
      <c r="L35" s="154" t="s">
        <v>248</v>
      </c>
      <c r="M35" s="154" t="s">
        <v>248</v>
      </c>
      <c r="N35" s="154" t="s">
        <v>248</v>
      </c>
      <c r="O35" s="154">
        <v>40330</v>
      </c>
      <c r="P35" s="154">
        <v>45844</v>
      </c>
      <c r="Q35" s="215">
        <v>31564</v>
      </c>
      <c r="R35" s="154">
        <v>35320</v>
      </c>
      <c r="S35" s="281">
        <v>45253</v>
      </c>
      <c r="T35" s="281">
        <v>3680</v>
      </c>
    </row>
    <row r="36" spans="2:20">
      <c r="B36" s="142"/>
      <c r="C36" s="143"/>
      <c r="D36" s="143"/>
      <c r="E36" s="143"/>
      <c r="F36" s="143"/>
      <c r="G36" s="144"/>
      <c r="H36" s="144"/>
      <c r="I36" s="144"/>
      <c r="J36" s="143"/>
      <c r="K36" s="143"/>
      <c r="L36" s="145"/>
    </row>
    <row r="37" spans="2:20">
      <c r="B37" s="127" t="s">
        <v>77</v>
      </c>
      <c r="C37" s="142"/>
      <c r="D37" s="127"/>
      <c r="E37" s="127"/>
      <c r="F37" s="146"/>
      <c r="G37" s="147"/>
      <c r="H37" s="147"/>
      <c r="I37" s="147"/>
      <c r="J37" s="146"/>
      <c r="K37" s="146"/>
      <c r="L37" s="148"/>
    </row>
    <row r="38" spans="2:20" ht="29.45" customHeight="1">
      <c r="B38" s="338" t="s">
        <v>253</v>
      </c>
      <c r="C38" s="339"/>
      <c r="D38" s="339"/>
      <c r="E38" s="339"/>
      <c r="F38" s="339"/>
      <c r="G38" s="339"/>
      <c r="H38" s="339"/>
      <c r="I38" s="339"/>
      <c r="J38" s="339"/>
      <c r="K38" s="339"/>
      <c r="L38" s="340"/>
    </row>
    <row r="39" spans="2:20" ht="27.75" customHeight="1">
      <c r="B39" s="338" t="s">
        <v>254</v>
      </c>
      <c r="C39" s="339"/>
      <c r="D39" s="339"/>
      <c r="E39" s="339"/>
      <c r="F39" s="339"/>
      <c r="G39" s="339"/>
      <c r="H39" s="339"/>
      <c r="I39" s="339"/>
      <c r="J39" s="339"/>
      <c r="K39" s="339"/>
      <c r="L39" s="340"/>
    </row>
    <row r="40" spans="2:20" ht="33" customHeight="1">
      <c r="B40" s="338" t="s">
        <v>255</v>
      </c>
      <c r="C40" s="339"/>
      <c r="D40" s="339"/>
      <c r="E40" s="339"/>
      <c r="F40" s="339"/>
      <c r="G40" s="339"/>
      <c r="H40" s="339"/>
      <c r="I40" s="339"/>
      <c r="J40" s="339"/>
      <c r="K40" s="339"/>
      <c r="L40" s="340"/>
    </row>
    <row r="41" spans="2:20" ht="44.25" customHeight="1">
      <c r="B41" s="393" t="s">
        <v>256</v>
      </c>
      <c r="C41" s="393"/>
      <c r="D41" s="393"/>
      <c r="E41" s="393"/>
      <c r="F41" s="393"/>
      <c r="G41" s="393"/>
      <c r="H41" s="393"/>
      <c r="I41" s="393"/>
      <c r="J41" s="393"/>
      <c r="K41" s="393"/>
      <c r="L41" s="393"/>
    </row>
    <row r="42" spans="2:20">
      <c r="B42" s="390" t="s">
        <v>257</v>
      </c>
      <c r="C42" s="391"/>
      <c r="D42" s="391"/>
      <c r="E42" s="391"/>
      <c r="F42" s="391"/>
      <c r="G42" s="391"/>
      <c r="H42" s="391"/>
      <c r="I42" s="391"/>
      <c r="J42" s="391"/>
      <c r="K42" s="391"/>
      <c r="L42" s="392"/>
    </row>
    <row r="43" spans="2:20" ht="16.5">
      <c r="B43" s="149"/>
      <c r="C43" s="149"/>
      <c r="D43" s="150"/>
      <c r="E43" s="150"/>
      <c r="F43" s="150"/>
      <c r="G43" s="150"/>
      <c r="H43" s="115"/>
      <c r="I43" s="115"/>
      <c r="J43" s="115"/>
      <c r="K43" s="115"/>
      <c r="L43" s="115"/>
    </row>
    <row r="44" spans="2:20" ht="16.5">
      <c r="B44" s="115"/>
      <c r="C44" s="115"/>
      <c r="D44" s="115"/>
      <c r="E44" s="115"/>
      <c r="F44" s="115"/>
      <c r="G44" s="115"/>
      <c r="H44" s="115"/>
      <c r="I44" s="115"/>
      <c r="J44" s="115"/>
      <c r="K44" s="115"/>
      <c r="L44" s="115"/>
    </row>
    <row r="45" spans="2:20" ht="16.5">
      <c r="B45" s="115"/>
      <c r="C45" s="115"/>
      <c r="D45" s="115"/>
      <c r="E45" s="115"/>
      <c r="F45" s="115"/>
      <c r="G45" s="115"/>
      <c r="H45" s="115"/>
      <c r="I45" s="115"/>
      <c r="J45" s="115"/>
      <c r="K45" s="115"/>
      <c r="L45" s="115"/>
    </row>
    <row r="46" spans="2:20" ht="16.5">
      <c r="B46" s="115"/>
      <c r="C46" s="115"/>
      <c r="D46" s="115"/>
      <c r="E46" s="115"/>
      <c r="F46" s="115"/>
      <c r="G46" s="115"/>
      <c r="H46" s="115"/>
      <c r="I46" s="115"/>
      <c r="J46" s="115"/>
      <c r="K46" s="115"/>
      <c r="L46" s="115"/>
    </row>
    <row r="47" spans="2:20" ht="16.5">
      <c r="B47" s="115"/>
      <c r="C47" s="115"/>
      <c r="D47" s="115"/>
      <c r="E47" s="115"/>
      <c r="F47" s="115"/>
      <c r="G47" s="115"/>
      <c r="H47" s="115"/>
      <c r="I47" s="115"/>
      <c r="J47" s="115"/>
      <c r="K47" s="115"/>
      <c r="L47" s="115"/>
    </row>
    <row r="48" spans="2:20" ht="16.5">
      <c r="B48" s="115"/>
      <c r="C48" s="115"/>
      <c r="D48" s="115"/>
      <c r="E48" s="115"/>
      <c r="F48" s="115"/>
      <c r="G48" s="115"/>
      <c r="H48" s="115"/>
      <c r="I48" s="115"/>
      <c r="J48" s="115"/>
      <c r="K48" s="115"/>
      <c r="L48" s="115"/>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zoomScale="85" zoomScaleNormal="85" workbookViewId="0"/>
  </sheetViews>
  <sheetFormatPr defaultColWidth="9.140625" defaultRowHeight="15"/>
  <cols>
    <col min="1" max="1" width="3.5703125" style="49" customWidth="1"/>
    <col min="2" max="2" width="53.7109375" style="52" customWidth="1"/>
    <col min="3" max="7" width="22.28515625" style="49" customWidth="1"/>
    <col min="8" max="8" width="8.85546875" style="49" customWidth="1"/>
    <col min="9" max="9" width="53.7109375" style="49" customWidth="1"/>
    <col min="10" max="14" width="22.28515625" style="49" customWidth="1"/>
    <col min="15" max="15" width="9.140625" style="49"/>
    <col min="16" max="16" width="53.7109375" style="49" customWidth="1"/>
    <col min="17" max="38" width="22.28515625" style="49" customWidth="1"/>
    <col min="39" max="16384" width="9.140625" style="49"/>
  </cols>
  <sheetData>
    <row r="1" spans="2:21">
      <c r="B1" s="48" t="s">
        <v>0</v>
      </c>
    </row>
    <row r="2" spans="2:21">
      <c r="B2" s="48" t="s">
        <v>258</v>
      </c>
    </row>
    <row r="3" spans="2:21">
      <c r="B3" s="50" t="s">
        <v>83</v>
      </c>
    </row>
    <row r="4" spans="2:21">
      <c r="B4" s="48"/>
    </row>
    <row r="5" spans="2:21" ht="29.25" customHeight="1">
      <c r="B5" s="379" t="s">
        <v>259</v>
      </c>
      <c r="C5" s="379"/>
      <c r="D5" s="379"/>
      <c r="E5" s="379"/>
      <c r="F5" s="379"/>
      <c r="G5" s="379"/>
    </row>
    <row r="6" spans="2:21">
      <c r="B6" s="379"/>
      <c r="C6" s="379"/>
      <c r="D6" s="379"/>
      <c r="E6" s="379"/>
      <c r="F6" s="379"/>
      <c r="G6" s="379"/>
    </row>
    <row r="7" spans="2:21">
      <c r="B7" s="379"/>
      <c r="C7" s="379"/>
      <c r="D7" s="379"/>
      <c r="E7" s="379"/>
      <c r="F7" s="379"/>
      <c r="G7" s="379"/>
    </row>
    <row r="8" spans="2:21">
      <c r="B8" s="379"/>
      <c r="C8" s="379"/>
      <c r="D8" s="379"/>
      <c r="E8" s="379"/>
      <c r="F8" s="379"/>
      <c r="G8" s="379"/>
    </row>
    <row r="9" spans="2:21" ht="42" customHeight="1">
      <c r="B9" s="379"/>
      <c r="C9" s="379"/>
      <c r="D9" s="379"/>
      <c r="E9" s="379"/>
      <c r="F9" s="379"/>
      <c r="G9" s="379"/>
    </row>
    <row r="11" spans="2:21" ht="18">
      <c r="B11" s="53" t="s">
        <v>260</v>
      </c>
      <c r="C11" s="53"/>
      <c r="D11" s="54"/>
      <c r="E11" s="54"/>
      <c r="F11" s="54"/>
      <c r="G11" s="54"/>
    </row>
    <row r="12" spans="2:21" ht="18.75" thickBot="1">
      <c r="B12" s="53"/>
      <c r="C12" s="53"/>
      <c r="D12" s="54"/>
      <c r="E12" s="54"/>
      <c r="F12" s="54"/>
      <c r="G12" s="54"/>
    </row>
    <row r="13" spans="2:21" ht="15.75" thickBot="1">
      <c r="B13" s="394" t="s">
        <v>261</v>
      </c>
      <c r="C13" s="395"/>
      <c r="D13" s="395"/>
      <c r="E13" s="395"/>
      <c r="F13" s="395"/>
      <c r="G13" s="396"/>
      <c r="I13" s="394" t="s">
        <v>262</v>
      </c>
      <c r="J13" s="395"/>
      <c r="K13" s="395"/>
      <c r="L13" s="395"/>
      <c r="M13" s="395"/>
      <c r="N13" s="396"/>
      <c r="P13" s="394" t="s">
        <v>263</v>
      </c>
      <c r="Q13" s="395"/>
      <c r="R13" s="395"/>
      <c r="S13" s="395"/>
      <c r="T13" s="395"/>
      <c r="U13" s="396"/>
    </row>
    <row r="14" spans="2:21" s="52" customFormat="1" ht="58.5" customHeight="1">
      <c r="B14" s="190" t="s">
        <v>182</v>
      </c>
      <c r="C14" s="25" t="s">
        <v>264</v>
      </c>
      <c r="D14" s="25" t="s">
        <v>265</v>
      </c>
      <c r="E14" s="25" t="s">
        <v>266</v>
      </c>
      <c r="F14" s="25" t="s">
        <v>267</v>
      </c>
      <c r="G14" s="26" t="s">
        <v>268</v>
      </c>
      <c r="I14" s="190" t="s">
        <v>182</v>
      </c>
      <c r="J14" s="25" t="s">
        <v>264</v>
      </c>
      <c r="K14" s="25" t="s">
        <v>265</v>
      </c>
      <c r="L14" s="25" t="s">
        <v>266</v>
      </c>
      <c r="M14" s="25" t="s">
        <v>267</v>
      </c>
      <c r="N14" s="26" t="s">
        <v>268</v>
      </c>
      <c r="P14" s="190" t="s">
        <v>182</v>
      </c>
      <c r="Q14" s="25" t="s">
        <v>264</v>
      </c>
      <c r="R14" s="25" t="s">
        <v>265</v>
      </c>
      <c r="S14" s="25" t="s">
        <v>266</v>
      </c>
      <c r="T14" s="25" t="s">
        <v>267</v>
      </c>
      <c r="U14" s="26" t="s">
        <v>268</v>
      </c>
    </row>
    <row r="15" spans="2:21" ht="16.5" customHeight="1">
      <c r="B15" s="191" t="s">
        <v>269</v>
      </c>
      <c r="C15" s="195">
        <v>10402128</v>
      </c>
      <c r="D15" s="196">
        <v>2727503</v>
      </c>
      <c r="E15" s="196">
        <f>SUM(C15:D15)</f>
        <v>13129631</v>
      </c>
      <c r="F15" s="196" t="s">
        <v>70</v>
      </c>
      <c r="G15" s="197">
        <f>SUM(E15:F15)</f>
        <v>13129631</v>
      </c>
      <c r="I15" s="191" t="s">
        <v>269</v>
      </c>
      <c r="J15" s="195">
        <v>990371</v>
      </c>
      <c r="K15" s="196">
        <v>0</v>
      </c>
      <c r="L15" s="196">
        <f>SUM(J15:K15)</f>
        <v>990371</v>
      </c>
      <c r="M15" s="196">
        <v>0</v>
      </c>
      <c r="N15" s="197">
        <f>SUM(L15:M15)</f>
        <v>990371</v>
      </c>
      <c r="P15" s="191" t="s">
        <v>269</v>
      </c>
      <c r="Q15" s="195">
        <f>SUM(C15,J15)</f>
        <v>11392499</v>
      </c>
      <c r="R15" s="195">
        <f>SUM(D15,K15)</f>
        <v>2727503</v>
      </c>
      <c r="S15" s="196">
        <f>SUM(Q15:R15)</f>
        <v>14120002</v>
      </c>
      <c r="T15" s="196">
        <f>SUM(F15,M15)</f>
        <v>0</v>
      </c>
      <c r="U15" s="197">
        <f>SUM(S15:T15)</f>
        <v>14120002</v>
      </c>
    </row>
    <row r="16" spans="2:21" s="52" customFormat="1" ht="16.5" customHeight="1">
      <c r="B16" s="191" t="s">
        <v>270</v>
      </c>
      <c r="C16" s="198">
        <v>20869054</v>
      </c>
      <c r="D16" s="199">
        <v>6643233</v>
      </c>
      <c r="E16" s="196">
        <f t="shared" ref="E16:E17" si="0">SUM(C16:D16)</f>
        <v>27512287</v>
      </c>
      <c r="F16" s="199" t="s">
        <v>70</v>
      </c>
      <c r="G16" s="197">
        <f t="shared" ref="G16:G17" si="1">SUM(E16:F16)</f>
        <v>27512287</v>
      </c>
      <c r="I16" s="191" t="s">
        <v>270</v>
      </c>
      <c r="J16" s="198">
        <v>3710637</v>
      </c>
      <c r="K16" s="199">
        <v>0</v>
      </c>
      <c r="L16" s="196">
        <f t="shared" ref="L16:L17" si="2">SUM(J16:K16)</f>
        <v>3710637</v>
      </c>
      <c r="M16" s="199">
        <v>0</v>
      </c>
      <c r="N16" s="197">
        <f t="shared" ref="N16:N17" si="3">SUM(L16:M16)</f>
        <v>3710637</v>
      </c>
      <c r="P16" s="191" t="s">
        <v>270</v>
      </c>
      <c r="Q16" s="195">
        <f t="shared" ref="Q16:Q17" si="4">SUM(C16,J16)</f>
        <v>24579691</v>
      </c>
      <c r="R16" s="195">
        <f t="shared" ref="R16:R17" si="5">SUM(D16,K16)</f>
        <v>6643233</v>
      </c>
      <c r="S16" s="196">
        <f t="shared" ref="S16:S17" si="6">SUM(Q16:R16)</f>
        <v>31222924</v>
      </c>
      <c r="T16" s="196">
        <f t="shared" ref="T16:T17" si="7">SUM(F16,M16)</f>
        <v>0</v>
      </c>
      <c r="U16" s="197">
        <f t="shared" ref="U16:U17" si="8">SUM(S16:T16)</f>
        <v>31222924</v>
      </c>
    </row>
    <row r="17" spans="2:21" ht="16.5" customHeight="1">
      <c r="B17" s="191" t="s">
        <v>271</v>
      </c>
      <c r="C17" s="195">
        <v>32811835</v>
      </c>
      <c r="D17" s="196">
        <v>10070569</v>
      </c>
      <c r="E17" s="196">
        <f t="shared" si="0"/>
        <v>42882404</v>
      </c>
      <c r="F17" s="196" t="s">
        <v>70</v>
      </c>
      <c r="G17" s="197">
        <f t="shared" si="1"/>
        <v>42882404</v>
      </c>
      <c r="I17" s="191" t="s">
        <v>271</v>
      </c>
      <c r="J17" s="195">
        <v>4479640</v>
      </c>
      <c r="K17" s="196">
        <v>0</v>
      </c>
      <c r="L17" s="196">
        <f t="shared" si="2"/>
        <v>4479640</v>
      </c>
      <c r="M17" s="196">
        <v>0</v>
      </c>
      <c r="N17" s="197">
        <f t="shared" si="3"/>
        <v>4479640</v>
      </c>
      <c r="P17" s="191" t="s">
        <v>271</v>
      </c>
      <c r="Q17" s="195">
        <f t="shared" si="4"/>
        <v>37291475</v>
      </c>
      <c r="R17" s="195">
        <f t="shared" si="5"/>
        <v>10070569</v>
      </c>
      <c r="S17" s="196">
        <f t="shared" si="6"/>
        <v>47362044</v>
      </c>
      <c r="T17" s="196">
        <f t="shared" si="7"/>
        <v>0</v>
      </c>
      <c r="U17" s="197">
        <f t="shared" si="8"/>
        <v>47362044</v>
      </c>
    </row>
    <row r="18" spans="2:21" ht="16.5" customHeight="1">
      <c r="B18" s="192" t="s">
        <v>218</v>
      </c>
      <c r="C18" s="200">
        <f>SUM(C15:C17)</f>
        <v>64083017</v>
      </c>
      <c r="D18" s="200">
        <f t="shared" ref="D18:G18" si="9">SUM(D15:D17)</f>
        <v>19441305</v>
      </c>
      <c r="E18" s="200">
        <f t="shared" si="9"/>
        <v>83524322</v>
      </c>
      <c r="F18" s="200">
        <f t="shared" si="9"/>
        <v>0</v>
      </c>
      <c r="G18" s="201">
        <f t="shared" si="9"/>
        <v>83524322</v>
      </c>
      <c r="I18" s="192" t="s">
        <v>218</v>
      </c>
      <c r="J18" s="200">
        <f>SUM(J15:J17)</f>
        <v>9180648</v>
      </c>
      <c r="K18" s="200">
        <f t="shared" ref="K18" si="10">SUM(K15:K17)</f>
        <v>0</v>
      </c>
      <c r="L18" s="200">
        <f t="shared" ref="L18" si="11">SUM(L15:L17)</f>
        <v>9180648</v>
      </c>
      <c r="M18" s="200">
        <f t="shared" ref="M18" si="12">SUM(M15:M17)</f>
        <v>0</v>
      </c>
      <c r="N18" s="201">
        <f t="shared" ref="N18" si="13">SUM(N15:N17)</f>
        <v>9180648</v>
      </c>
      <c r="P18" s="192" t="s">
        <v>218</v>
      </c>
      <c r="Q18" s="200">
        <f>SUM(Q15:Q17)</f>
        <v>73263665</v>
      </c>
      <c r="R18" s="200">
        <f t="shared" ref="R18" si="14">SUM(R15:R17)</f>
        <v>19441305</v>
      </c>
      <c r="S18" s="200">
        <f t="shared" ref="S18" si="15">SUM(S15:S17)</f>
        <v>92704970</v>
      </c>
      <c r="T18" s="200">
        <f t="shared" ref="T18" si="16">SUM(T15:T17)</f>
        <v>0</v>
      </c>
      <c r="U18" s="201">
        <f t="shared" ref="U18" si="17">SUM(U15:U17)</f>
        <v>92704970</v>
      </c>
    </row>
    <row r="19" spans="2:21" ht="16.5" customHeight="1">
      <c r="B19" s="191" t="s">
        <v>272</v>
      </c>
      <c r="C19" s="195">
        <v>38106737</v>
      </c>
      <c r="D19" s="196">
        <v>10366287</v>
      </c>
      <c r="E19" s="196">
        <f>SUM(C19:D19)</f>
        <v>48473024</v>
      </c>
      <c r="F19" s="196" t="s">
        <v>70</v>
      </c>
      <c r="G19" s="197">
        <f>SUM(E19:F19)</f>
        <v>48473024</v>
      </c>
      <c r="I19" s="191" t="s">
        <v>272</v>
      </c>
      <c r="J19" s="195">
        <v>10955117.050000001</v>
      </c>
      <c r="K19" s="196">
        <v>3124552</v>
      </c>
      <c r="L19" s="196">
        <f>SUM(J19:K19)</f>
        <v>14079669.050000001</v>
      </c>
      <c r="M19" s="196">
        <v>0</v>
      </c>
      <c r="N19" s="197">
        <f>SUM(L19:M19)</f>
        <v>14079669.050000001</v>
      </c>
      <c r="P19" s="191" t="s">
        <v>272</v>
      </c>
      <c r="Q19" s="195">
        <f>SUM(C19,J19)</f>
        <v>49061854.049999997</v>
      </c>
      <c r="R19" s="195">
        <f>SUM(D19,K19)</f>
        <v>13490839</v>
      </c>
      <c r="S19" s="196">
        <f>SUM(Q19:R19)</f>
        <v>62552693.049999997</v>
      </c>
      <c r="T19" s="196">
        <f>SUM(F19,M19)</f>
        <v>0</v>
      </c>
      <c r="U19" s="197">
        <f>SUM(S19:T19)</f>
        <v>62552693.049999997</v>
      </c>
    </row>
    <row r="20" spans="2:21" ht="16.5" customHeight="1">
      <c r="B20" s="191" t="s">
        <v>273</v>
      </c>
      <c r="C20" s="195">
        <v>37710086.579999998</v>
      </c>
      <c r="D20" s="196">
        <v>12955815</v>
      </c>
      <c r="E20" s="196">
        <f t="shared" ref="E20:E21" si="18">SUM(C20:D20)</f>
        <v>50665901.579999998</v>
      </c>
      <c r="F20" s="196" t="s">
        <v>70</v>
      </c>
      <c r="G20" s="197">
        <f t="shared" ref="G20:G21" si="19">SUM(E20:F20)</f>
        <v>50665901.579999998</v>
      </c>
      <c r="I20" s="191" t="s">
        <v>273</v>
      </c>
      <c r="J20" s="195">
        <v>11771030.83</v>
      </c>
      <c r="K20" s="196">
        <v>4540401</v>
      </c>
      <c r="L20" s="196">
        <f t="shared" ref="L20:L21" si="20">SUM(J20:K20)</f>
        <v>16311431.83</v>
      </c>
      <c r="M20" s="196">
        <v>0</v>
      </c>
      <c r="N20" s="197">
        <f t="shared" ref="N20:N21" si="21">SUM(L20:M20)</f>
        <v>16311431.83</v>
      </c>
      <c r="P20" s="191" t="s">
        <v>273</v>
      </c>
      <c r="Q20" s="195">
        <f t="shared" ref="Q20:Q21" si="22">SUM(C20,J20)</f>
        <v>49481117.409999996</v>
      </c>
      <c r="R20" s="195">
        <f t="shared" ref="R20:R21" si="23">SUM(D20,K20)</f>
        <v>17496216</v>
      </c>
      <c r="S20" s="196">
        <f ca="1">SUM(Q20:R30)</f>
        <v>0</v>
      </c>
      <c r="T20" s="196">
        <f t="shared" ref="T20:T21" si="24">SUM(F20,M20)</f>
        <v>0</v>
      </c>
      <c r="U20" s="197">
        <f t="shared" ref="U20:U21" ca="1" si="25">SUM(S20:T20)</f>
        <v>66977333.409999996</v>
      </c>
    </row>
    <row r="21" spans="2:21" ht="16.5" customHeight="1">
      <c r="B21" s="191" t="s">
        <v>274</v>
      </c>
      <c r="C21" s="195">
        <v>37398421</v>
      </c>
      <c r="D21" s="196">
        <v>8665054</v>
      </c>
      <c r="E21" s="196">
        <f t="shared" si="18"/>
        <v>46063475</v>
      </c>
      <c r="F21" s="196">
        <v>11304464</v>
      </c>
      <c r="G21" s="197">
        <f t="shared" si="19"/>
        <v>57367939</v>
      </c>
      <c r="I21" s="191" t="s">
        <v>274</v>
      </c>
      <c r="J21" s="195">
        <v>10107643</v>
      </c>
      <c r="K21" s="196">
        <v>5012103</v>
      </c>
      <c r="L21" s="196">
        <f t="shared" si="20"/>
        <v>15119746</v>
      </c>
      <c r="M21" s="196">
        <v>0</v>
      </c>
      <c r="N21" s="197">
        <f t="shared" si="21"/>
        <v>15119746</v>
      </c>
      <c r="P21" s="191" t="s">
        <v>274</v>
      </c>
      <c r="Q21" s="195">
        <f t="shared" si="22"/>
        <v>47506064</v>
      </c>
      <c r="R21" s="195">
        <f t="shared" si="23"/>
        <v>13677157</v>
      </c>
      <c r="S21" s="196">
        <f ca="1">SUM(Q21:R31)</f>
        <v>0</v>
      </c>
      <c r="T21" s="196">
        <f t="shared" si="24"/>
        <v>11304464</v>
      </c>
      <c r="U21" s="197">
        <f t="shared" ca="1" si="25"/>
        <v>72487685</v>
      </c>
    </row>
    <row r="22" spans="2:21" ht="16.5" customHeight="1">
      <c r="B22" s="192" t="s">
        <v>223</v>
      </c>
      <c r="C22" s="200">
        <f>SUM(C19:C21)</f>
        <v>113215244.58</v>
      </c>
      <c r="D22" s="200">
        <f t="shared" ref="D22:G22" si="26">SUM(D19:D21)</f>
        <v>31987156</v>
      </c>
      <c r="E22" s="200">
        <f t="shared" si="26"/>
        <v>145202400.57999998</v>
      </c>
      <c r="F22" s="200">
        <f t="shared" si="26"/>
        <v>11304464</v>
      </c>
      <c r="G22" s="201">
        <f t="shared" si="26"/>
        <v>156506864.57999998</v>
      </c>
      <c r="I22" s="192" t="s">
        <v>223</v>
      </c>
      <c r="J22" s="200">
        <f>SUM(J19:J21)</f>
        <v>32833790.880000003</v>
      </c>
      <c r="K22" s="200">
        <f t="shared" ref="K22" si="27">SUM(K19:K21)</f>
        <v>12677056</v>
      </c>
      <c r="L22" s="200">
        <f t="shared" ref="L22" si="28">SUM(L19:L21)</f>
        <v>45510846.880000003</v>
      </c>
      <c r="M22" s="200">
        <f t="shared" ref="M22" si="29">SUM(M19:M21)</f>
        <v>0</v>
      </c>
      <c r="N22" s="201">
        <f t="shared" ref="N22" si="30">SUM(N19:N21)</f>
        <v>45510846.880000003</v>
      </c>
      <c r="P22" s="192" t="s">
        <v>223</v>
      </c>
      <c r="Q22" s="200">
        <f ca="1">SUM(Q19:Q31)</f>
        <v>0</v>
      </c>
      <c r="R22" s="200">
        <f t="shared" ref="R22" si="31">SUM(R19:R21)</f>
        <v>44664212</v>
      </c>
      <c r="S22" s="200">
        <f t="shared" ref="S22" ca="1" si="32">SUM(S19:S21)</f>
        <v>190713247.45999998</v>
      </c>
      <c r="T22" s="200">
        <f t="shared" ref="T22" si="33">SUM(T19:T21)</f>
        <v>11304464</v>
      </c>
      <c r="U22" s="201">
        <f t="shared" ref="U22" ca="1" si="34">SUM(U19:U21)</f>
        <v>202017711.45999998</v>
      </c>
    </row>
    <row r="23" spans="2:21" ht="16.5" customHeight="1">
      <c r="B23" s="191" t="s">
        <v>275</v>
      </c>
      <c r="C23" s="196">
        <v>45492403.572529398</v>
      </c>
      <c r="D23" s="196">
        <v>11442802</v>
      </c>
      <c r="E23" s="196">
        <f>SUM(C23:D23)</f>
        <v>56935205.572529398</v>
      </c>
      <c r="F23" s="196">
        <v>23079733.54647059</v>
      </c>
      <c r="G23" s="197">
        <f>SUM(E23:F23)</f>
        <v>80014939.118999988</v>
      </c>
      <c r="I23" s="191" t="s">
        <v>275</v>
      </c>
      <c r="J23" s="196">
        <v>11300080.921</v>
      </c>
      <c r="K23" s="196">
        <v>3036995.8499999996</v>
      </c>
      <c r="L23" s="196">
        <f>SUM(J23:K23)</f>
        <v>14337076.771</v>
      </c>
      <c r="M23" s="196">
        <v>0</v>
      </c>
      <c r="N23" s="197">
        <f>SUM(L23:M23)</f>
        <v>14337076.771</v>
      </c>
      <c r="P23" s="191" t="s">
        <v>275</v>
      </c>
      <c r="Q23" s="195">
        <f>SUM(C23,J23)</f>
        <v>56792484.493529394</v>
      </c>
      <c r="R23" s="195">
        <f>SUM(D23,K23)</f>
        <v>14479797.85</v>
      </c>
      <c r="S23" s="196">
        <f ca="1">SUM(Q23:R33)</f>
        <v>0</v>
      </c>
      <c r="T23" s="196">
        <f>SUM(F23,M23)</f>
        <v>23079733.54647059</v>
      </c>
      <c r="U23" s="197">
        <f ca="1">SUM(S23:T23)</f>
        <v>94352015.889999986</v>
      </c>
    </row>
    <row r="24" spans="2:21" ht="16.5" customHeight="1">
      <c r="B24" s="191" t="s">
        <v>276</v>
      </c>
      <c r="C24" s="196">
        <v>40525431.816717699</v>
      </c>
      <c r="D24" s="196">
        <v>3905399.7600000007</v>
      </c>
      <c r="E24" s="196">
        <f t="shared" ref="E24:E25" si="35">SUM(C24:D24)</f>
        <v>44430831.576717697</v>
      </c>
      <c r="F24" s="196">
        <v>30613784.309579305</v>
      </c>
      <c r="G24" s="197">
        <f t="shared" ref="G24:G25" si="36">SUM(E24:F24)</f>
        <v>75044615.886297002</v>
      </c>
      <c r="I24" s="191" t="s">
        <v>276</v>
      </c>
      <c r="J24" s="196">
        <v>11359483.26</v>
      </c>
      <c r="K24" s="196">
        <v>1184458.3700000001</v>
      </c>
      <c r="L24" s="196">
        <f t="shared" ref="L24:L25" si="37">SUM(J24:K24)</f>
        <v>12543941.629999999</v>
      </c>
      <c r="M24" s="196">
        <v>0</v>
      </c>
      <c r="N24" s="197">
        <f t="shared" ref="N24:N25" si="38">SUM(L24:M24)</f>
        <v>12543941.629999999</v>
      </c>
      <c r="P24" s="191" t="s">
        <v>276</v>
      </c>
      <c r="Q24" s="195">
        <f t="shared" ref="Q24:Q25" si="39">SUM(C24,J24)</f>
        <v>51884915.076717697</v>
      </c>
      <c r="R24" s="195">
        <f t="shared" ref="R24:R25" si="40">SUM(D24,K24)</f>
        <v>5089858.1300000008</v>
      </c>
      <c r="S24" s="196">
        <f ca="1">SUM(Q24:R34)</f>
        <v>0</v>
      </c>
      <c r="T24" s="196">
        <f t="shared" ref="T24:T25" si="41">SUM(F24,M24)</f>
        <v>30613784.309579305</v>
      </c>
      <c r="U24" s="197">
        <f t="shared" ref="U24:U25" ca="1" si="42">SUM(S24:T24)</f>
        <v>87588557.516297013</v>
      </c>
    </row>
    <row r="25" spans="2:21" ht="16.5" customHeight="1">
      <c r="B25" s="191" t="s">
        <v>277</v>
      </c>
      <c r="C25" s="196">
        <v>73683243.6438054</v>
      </c>
      <c r="D25" s="196">
        <v>21955334.289999999</v>
      </c>
      <c r="E25" s="196">
        <f t="shared" si="35"/>
        <v>95638577.933805406</v>
      </c>
      <c r="F25" s="196">
        <v>32643055.795471098</v>
      </c>
      <c r="G25" s="197">
        <f t="shared" si="36"/>
        <v>128281633.72927651</v>
      </c>
      <c r="I25" s="191" t="s">
        <v>277</v>
      </c>
      <c r="J25" s="196">
        <v>18866753.113000002</v>
      </c>
      <c r="K25" s="196">
        <v>7373142.9500000002</v>
      </c>
      <c r="L25" s="196">
        <f t="shared" si="37"/>
        <v>26239896.063000001</v>
      </c>
      <c r="M25" s="196">
        <v>0</v>
      </c>
      <c r="N25" s="197">
        <f t="shared" si="38"/>
        <v>26239896.063000001</v>
      </c>
      <c r="P25" s="191" t="s">
        <v>277</v>
      </c>
      <c r="Q25" s="195">
        <f t="shared" si="39"/>
        <v>92549996.756805405</v>
      </c>
      <c r="R25" s="195">
        <f t="shared" si="40"/>
        <v>29328477.239999998</v>
      </c>
      <c r="S25" s="196">
        <f ca="1">SUM(Q25:R35)</f>
        <v>0</v>
      </c>
      <c r="T25" s="196">
        <f t="shared" si="41"/>
        <v>32643055.795471098</v>
      </c>
      <c r="U25" s="197">
        <f t="shared" ca="1" si="42"/>
        <v>154521529.7922765</v>
      </c>
    </row>
    <row r="26" spans="2:21" ht="16.5" customHeight="1" thickBot="1">
      <c r="B26" s="193" t="s">
        <v>229</v>
      </c>
      <c r="C26" s="202">
        <f>SUM(C23:C25)</f>
        <v>159701079.0330525</v>
      </c>
      <c r="D26" s="202">
        <f t="shared" ref="D26:G26" si="43">SUM(D23:D25)</f>
        <v>37303536.049999997</v>
      </c>
      <c r="E26" s="202">
        <f t="shared" si="43"/>
        <v>197004615.08305252</v>
      </c>
      <c r="F26" s="202">
        <f t="shared" si="43"/>
        <v>86336573.651520997</v>
      </c>
      <c r="G26" s="203">
        <f t="shared" si="43"/>
        <v>283341188.73457348</v>
      </c>
      <c r="I26" s="193" t="s">
        <v>229</v>
      </c>
      <c r="J26" s="202">
        <f>SUM(J23:J25)</f>
        <v>41526317.294</v>
      </c>
      <c r="K26" s="202">
        <f t="shared" ref="K26" si="44">SUM(K23:K25)</f>
        <v>11594597.17</v>
      </c>
      <c r="L26" s="202">
        <f t="shared" ref="L26" si="45">SUM(L23:L25)</f>
        <v>53120914.464000002</v>
      </c>
      <c r="M26" s="202">
        <f t="shared" ref="M26" si="46">SUM(M23:M25)</f>
        <v>0</v>
      </c>
      <c r="N26" s="203">
        <f t="shared" ref="N26" si="47">SUM(N23:N25)</f>
        <v>53120914.464000002</v>
      </c>
      <c r="P26" s="193" t="s">
        <v>229</v>
      </c>
      <c r="Q26" s="202">
        <f>SUM(Q33:Q35)</f>
        <v>401639905.78999996</v>
      </c>
      <c r="R26" s="202">
        <f t="shared" ref="R26" si="48">SUM(R23:R25)</f>
        <v>48898133.219999999</v>
      </c>
      <c r="S26" s="202">
        <f t="shared" ref="S26" ca="1" si="49">SUM(S23:S25)</f>
        <v>250125529.5470525</v>
      </c>
      <c r="T26" s="202">
        <f t="shared" ref="T26" si="50">SUM(T23:T25)</f>
        <v>86336573.651520997</v>
      </c>
      <c r="U26" s="203">
        <f t="shared" ref="U26" ca="1" si="51">SUM(U23:U25)</f>
        <v>336462103.19857347</v>
      </c>
    </row>
    <row r="27" spans="2:21" s="52" customFormat="1" ht="47.1" customHeight="1">
      <c r="B27" s="190" t="s">
        <v>182</v>
      </c>
      <c r="C27" s="25" t="s">
        <v>278</v>
      </c>
      <c r="D27" s="25" t="s">
        <v>279</v>
      </c>
      <c r="E27" s="194" t="s">
        <v>21</v>
      </c>
      <c r="F27" s="189"/>
      <c r="G27" s="189"/>
      <c r="I27" s="190" t="s">
        <v>182</v>
      </c>
      <c r="J27" s="25" t="s">
        <v>278</v>
      </c>
      <c r="K27" s="25" t="s">
        <v>279</v>
      </c>
      <c r="L27" s="194" t="s">
        <v>21</v>
      </c>
      <c r="M27" s="189"/>
      <c r="N27" s="189"/>
      <c r="P27" s="190" t="s">
        <v>182</v>
      </c>
      <c r="Q27" s="25" t="s">
        <v>278</v>
      </c>
      <c r="R27" s="25" t="s">
        <v>279</v>
      </c>
      <c r="S27" s="194" t="s">
        <v>21</v>
      </c>
      <c r="T27" s="189"/>
      <c r="U27" s="189"/>
    </row>
    <row r="28" spans="2:21" ht="16.5" customHeight="1">
      <c r="B28" s="65">
        <v>2018</v>
      </c>
      <c r="C28" s="196">
        <v>102247235.25</v>
      </c>
      <c r="D28" s="196">
        <v>98689801</v>
      </c>
      <c r="E28" s="204">
        <f>C28/D28</f>
        <v>1.0360466250205531</v>
      </c>
      <c r="F28" s="60"/>
      <c r="G28" s="60"/>
      <c r="I28" s="65">
        <v>2018</v>
      </c>
      <c r="J28" s="196">
        <v>16960154.43</v>
      </c>
      <c r="K28" s="196">
        <v>15667311.84</v>
      </c>
      <c r="L28" s="204">
        <f>J28/K28</f>
        <v>1.0825184692309029</v>
      </c>
      <c r="M28" s="60"/>
      <c r="N28" s="60"/>
      <c r="P28" s="65">
        <v>2018</v>
      </c>
      <c r="Q28" s="196">
        <f>SUM(C28,J28)</f>
        <v>119207389.68000001</v>
      </c>
      <c r="R28" s="196">
        <f>SUM(D28,K28)</f>
        <v>114357112.84</v>
      </c>
      <c r="S28" s="204">
        <f>Q38/R28</f>
        <v>0</v>
      </c>
      <c r="T28" s="60"/>
      <c r="U28" s="60"/>
    </row>
    <row r="29" spans="2:21" ht="16.5" customHeight="1">
      <c r="B29" s="65">
        <v>2019</v>
      </c>
      <c r="C29" s="196">
        <v>96007537.799999997</v>
      </c>
      <c r="D29" s="196">
        <v>98689801</v>
      </c>
      <c r="E29" s="204">
        <f t="shared" ref="E29:E31" si="52">C29/D29</f>
        <v>0.97282127258519846</v>
      </c>
      <c r="F29" s="60"/>
      <c r="G29" s="60"/>
      <c r="I29" s="65">
        <v>2019</v>
      </c>
      <c r="J29" s="196">
        <v>15095104.890000001</v>
      </c>
      <c r="K29" s="196">
        <v>15360706.439999999</v>
      </c>
      <c r="L29" s="204">
        <f t="shared" ref="L29:L31" si="53">J29/K29</f>
        <v>0.98270902767151647</v>
      </c>
      <c r="M29" s="60"/>
      <c r="N29" s="60"/>
      <c r="P29" s="65">
        <v>2019</v>
      </c>
      <c r="Q29" s="196">
        <f t="shared" ref="Q29:R31" si="54">SUM(C29,J29)</f>
        <v>111102642.69</v>
      </c>
      <c r="R29" s="196">
        <f t="shared" si="54"/>
        <v>114050507.44</v>
      </c>
      <c r="S29" s="204">
        <f>Q39/R29</f>
        <v>0</v>
      </c>
      <c r="T29" s="60"/>
      <c r="U29" s="60"/>
    </row>
    <row r="30" spans="2:21" ht="16.5" customHeight="1">
      <c r="B30" s="65">
        <v>2020</v>
      </c>
      <c r="C30" s="196">
        <v>98400656.209999993</v>
      </c>
      <c r="D30" s="196">
        <v>98689800.997999996</v>
      </c>
      <c r="E30" s="204">
        <f t="shared" si="52"/>
        <v>0.99707016545705807</v>
      </c>
      <c r="F30" s="60"/>
      <c r="G30" s="60"/>
      <c r="I30" s="65">
        <v>2020</v>
      </c>
      <c r="J30" s="196">
        <v>14975163</v>
      </c>
      <c r="K30" s="196">
        <v>15575955.0169142</v>
      </c>
      <c r="L30" s="204">
        <f t="shared" si="53"/>
        <v>0.96142823882954276</v>
      </c>
      <c r="M30" s="60"/>
      <c r="N30" s="60"/>
      <c r="P30" s="65">
        <v>2020</v>
      </c>
      <c r="Q30" s="196">
        <f t="shared" si="54"/>
        <v>113375819.20999999</v>
      </c>
      <c r="R30" s="196">
        <f t="shared" si="54"/>
        <v>114265756.0149142</v>
      </c>
      <c r="S30" s="204">
        <f t="shared" ref="S30:S31" si="55">Q30/R30</f>
        <v>0.9922116928469974</v>
      </c>
      <c r="T30" s="60"/>
      <c r="U30" s="60"/>
    </row>
    <row r="31" spans="2:21" ht="16.5" customHeight="1">
      <c r="B31" s="65">
        <v>2021</v>
      </c>
      <c r="C31" s="196">
        <v>99465648.870000005</v>
      </c>
      <c r="D31" s="196">
        <v>98689801</v>
      </c>
      <c r="E31" s="204">
        <f t="shared" si="52"/>
        <v>1.0078614797287919</v>
      </c>
      <c r="F31" s="60"/>
      <c r="G31" s="60"/>
      <c r="I31" s="65">
        <v>2021</v>
      </c>
      <c r="J31" s="196">
        <v>15033270.055786902</v>
      </c>
      <c r="K31" s="196">
        <v>15731743.369344199</v>
      </c>
      <c r="L31" s="204">
        <f t="shared" si="53"/>
        <v>0.95560102290262483</v>
      </c>
      <c r="M31" s="60"/>
      <c r="N31" s="60"/>
      <c r="P31" s="65">
        <v>2021</v>
      </c>
      <c r="Q31" s="196">
        <f t="shared" si="54"/>
        <v>114498918.92578691</v>
      </c>
      <c r="R31" s="196">
        <f t="shared" si="54"/>
        <v>114421544.3693442</v>
      </c>
      <c r="S31" s="204">
        <f t="shared" si="55"/>
        <v>1.0006762236680966</v>
      </c>
      <c r="T31" s="60"/>
      <c r="U31" s="60"/>
    </row>
    <row r="32" spans="2:21" ht="16.5" customHeight="1" thickBot="1">
      <c r="B32" s="193" t="s">
        <v>231</v>
      </c>
      <c r="C32" s="202">
        <f>SUM(C28:C31)</f>
        <v>396121078.13</v>
      </c>
      <c r="D32" s="202">
        <f>SUM(D28:D31)</f>
        <v>394759203.99800003</v>
      </c>
      <c r="E32" s="205">
        <f>C32/D32</f>
        <v>1.0034498856979326</v>
      </c>
      <c r="F32" s="60"/>
      <c r="G32" s="60"/>
      <c r="I32" s="193" t="s">
        <v>231</v>
      </c>
      <c r="J32" s="202">
        <f>SUM(J28:J31)</f>
        <v>62063692.375786901</v>
      </c>
      <c r="K32" s="202">
        <f>SUM(K28:K31)</f>
        <v>62335716.666258402</v>
      </c>
      <c r="L32" s="205">
        <f>J32/K32</f>
        <v>0.99563614080306639</v>
      </c>
      <c r="M32" s="60"/>
      <c r="N32" s="60"/>
      <c r="P32" s="193" t="s">
        <v>231</v>
      </c>
      <c r="Q32" s="202">
        <f ca="1">SUM(Q31:Q38)</f>
        <v>0</v>
      </c>
      <c r="R32" s="202">
        <f>SUM(R28:R31)</f>
        <v>457094920.66425836</v>
      </c>
      <c r="S32" s="205">
        <f ca="1">Q32/R32</f>
        <v>1.002384296548176</v>
      </c>
      <c r="T32" s="60"/>
      <c r="U32" s="60"/>
    </row>
    <row r="33" spans="2:21" ht="14.45" customHeight="1">
      <c r="B33" s="65">
        <v>2022</v>
      </c>
      <c r="C33" s="220">
        <v>103997826.45</v>
      </c>
      <c r="D33" s="196">
        <v>119489180</v>
      </c>
      <c r="E33" s="204">
        <f>C33/D33</f>
        <v>0.8703535035557195</v>
      </c>
      <c r="F33" s="60"/>
      <c r="G33" s="60"/>
      <c r="I33" s="65">
        <v>2022</v>
      </c>
      <c r="J33" s="220">
        <v>15503826.17</v>
      </c>
      <c r="K33" s="196">
        <v>16295291</v>
      </c>
      <c r="L33" s="204">
        <f>J33/K33</f>
        <v>0.95142984375056572</v>
      </c>
      <c r="M33" s="60"/>
      <c r="N33" s="60"/>
      <c r="P33" s="65">
        <v>2022</v>
      </c>
      <c r="Q33" s="196">
        <f>SUM(C33,J33)</f>
        <v>119501652.62</v>
      </c>
      <c r="R33" s="196">
        <f>SUM(D33,K33)</f>
        <v>135784471</v>
      </c>
      <c r="S33" s="204">
        <f>Q33/R33</f>
        <v>0.88008335371428448</v>
      </c>
      <c r="T33" s="60"/>
      <c r="U33" s="60"/>
    </row>
    <row r="34" spans="2:21" ht="16.5">
      <c r="B34" s="65">
        <v>2023</v>
      </c>
      <c r="C34" s="196">
        <v>123091264.47</v>
      </c>
      <c r="D34" s="196">
        <v>118701009</v>
      </c>
      <c r="E34" s="204">
        <f t="shared" ref="E34:E36" si="56">C34/D34</f>
        <v>1.0369858310976952</v>
      </c>
      <c r="I34" s="65">
        <v>2023</v>
      </c>
      <c r="J34" s="196">
        <v>17171631.370000001</v>
      </c>
      <c r="K34" s="196">
        <v>16433133</v>
      </c>
      <c r="L34" s="204">
        <f t="shared" ref="L34:L36" si="57">J34/K34</f>
        <v>1.0449395967281467</v>
      </c>
      <c r="P34" s="65">
        <v>2023</v>
      </c>
      <c r="Q34" s="196">
        <f t="shared" ref="Q34:R36" si="58">SUM(C34,J34)</f>
        <v>140262895.84</v>
      </c>
      <c r="R34" s="196">
        <f t="shared" si="58"/>
        <v>135134142</v>
      </c>
      <c r="S34" s="204">
        <f t="shared" ref="S34:S36" si="59">Q34/R34</f>
        <v>1.0379530573406091</v>
      </c>
    </row>
    <row r="35" spans="2:21" ht="16.5">
      <c r="B35" s="65">
        <v>2024</v>
      </c>
      <c r="C35" s="196">
        <v>124777897.59999999</v>
      </c>
      <c r="D35" s="196">
        <v>118701009</v>
      </c>
      <c r="E35" s="204">
        <f t="shared" si="56"/>
        <v>1.0511949194972723</v>
      </c>
      <c r="I35" s="65">
        <v>2024</v>
      </c>
      <c r="J35" s="196">
        <v>17097459.73</v>
      </c>
      <c r="K35" s="196">
        <v>16624870</v>
      </c>
      <c r="L35" s="204">
        <f t="shared" si="57"/>
        <v>1.0284266722085647</v>
      </c>
      <c r="P35" s="65">
        <v>2024</v>
      </c>
      <c r="Q35" s="196">
        <f t="shared" si="58"/>
        <v>141875357.32999998</v>
      </c>
      <c r="R35" s="196">
        <f t="shared" si="58"/>
        <v>135325879</v>
      </c>
      <c r="S35" s="204">
        <f t="shared" si="59"/>
        <v>1.0483978258881288</v>
      </c>
    </row>
    <row r="36" spans="2:21" ht="16.5">
      <c r="B36" s="65">
        <v>2025</v>
      </c>
      <c r="C36" s="196">
        <f>'2- Costs'!C30</f>
        <v>21625724.25</v>
      </c>
      <c r="D36" s="196">
        <v>118701009</v>
      </c>
      <c r="E36" s="204">
        <f t="shared" si="56"/>
        <v>0.18218652421059031</v>
      </c>
      <c r="I36" s="65">
        <v>2025</v>
      </c>
      <c r="J36" s="196">
        <f>'2- Costs'!D30</f>
        <v>2903615.69</v>
      </c>
      <c r="K36" s="196">
        <v>16701258</v>
      </c>
      <c r="L36" s="204">
        <f t="shared" si="57"/>
        <v>0.17385610652802322</v>
      </c>
      <c r="P36" s="65">
        <v>2025</v>
      </c>
      <c r="Q36" s="196">
        <f t="shared" si="58"/>
        <v>24529339.940000001</v>
      </c>
      <c r="R36" s="196">
        <f t="shared" si="58"/>
        <v>135402267</v>
      </c>
      <c r="S36" s="204">
        <f t="shared" si="59"/>
        <v>0.1811590048193211</v>
      </c>
    </row>
    <row r="37" spans="2:21" ht="17.25" thickBot="1">
      <c r="B37" s="193" t="s">
        <v>233</v>
      </c>
      <c r="C37" s="202">
        <f>SUM(C33:C36)</f>
        <v>373492712.76999998</v>
      </c>
      <c r="D37" s="202">
        <f>SUM(D33:D36)</f>
        <v>475592207</v>
      </c>
      <c r="E37" s="205">
        <f>C37/D37</f>
        <v>0.7853213473071059</v>
      </c>
      <c r="I37" s="193" t="s">
        <v>233</v>
      </c>
      <c r="J37" s="202">
        <f>SUM(J33:J36)</f>
        <v>52676532.959999993</v>
      </c>
      <c r="K37" s="202">
        <f>SUM(K33:K36)</f>
        <v>66054552</v>
      </c>
      <c r="L37" s="205">
        <f>J37/K37</f>
        <v>0.79747014195176125</v>
      </c>
      <c r="P37" s="193" t="s">
        <v>233</v>
      </c>
      <c r="Q37" s="202">
        <f>SUM(Q33:Q36)</f>
        <v>426169245.72999996</v>
      </c>
      <c r="R37" s="202">
        <f>SUM(R33:R36)</f>
        <v>541646759</v>
      </c>
      <c r="S37" s="205">
        <f>Q37/R37</f>
        <v>0.78680290918162765</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19 Q18:R18 R22 R32 T23:T25 T15 J18:N18 L22:N22 S22 S26" formula="1"/>
    <ignoredError sqref="E28:E37 S30: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2F517F943E5478788C00CC370CF36" ma:contentTypeVersion="20" ma:contentTypeDescription="Create a new document." ma:contentTypeScope="" ma:versionID="2232f83691b08a021b90ad2d339bc6ea">
  <xsd:schema xmlns:xsd="http://www.w3.org/2001/XMLSchema" xmlns:xs="http://www.w3.org/2001/XMLSchema" xmlns:p="http://schemas.microsoft.com/office/2006/metadata/properties" xmlns:ns2="c165669a-5531-4834-a3c6-766d91a836b3" xmlns:ns3="0fc115f9-6d6b-4932-b8c1-5214a931006f" targetNamespace="http://schemas.microsoft.com/office/2006/metadata/properties" ma:root="true" ma:fieldsID="75c1e523e13ccc8c40d29b3c16737088" ns2:_="" ns3:_="">
    <xsd:import namespace="c165669a-5531-4834-a3c6-766d91a836b3"/>
    <xsd:import namespace="0fc115f9-6d6b-4932-b8c1-5214a931006f"/>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2:Program_x0020_Mont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ternalName="Program_x0020_Year">
      <xsd:simpleType>
        <xsd:restriction base="dms:Choice">
          <xsd:enumeration value="PY18"/>
          <xsd:enumeration value="PY19"/>
          <xsd:enumeration value="PY20"/>
          <xsd:enumeration value="PY21"/>
          <xsd:enumeration value="PY22"/>
          <xsd:enumeration value="PY23"/>
          <xsd:enumeration value="PY24"/>
        </xsd:restriction>
      </xsd:simpleType>
    </xsd:element>
    <xsd:element name="Retention_x0020_Code" ma:index="13" nillable="true" ma:displayName="Retention Code" ma:format="Dropdown" ma:internalName="Retention_x0020_Code">
      <xsd:simpleType>
        <xsd:restriction base="dms:Choice">
          <xsd:enumeration value="ACC001"/>
          <xsd:enumeration value="ACC005"/>
          <xsd:enumeration value="ACC008"/>
          <xsd:enumeration value="ACC010"/>
          <xsd:enumeration value="ACC011"/>
          <xsd:enumeration value="ACC013"/>
          <xsd:enumeration value="ACC014"/>
          <xsd:enumeration value="ACC015"/>
          <xsd:enumeration value="ACC016"/>
          <xsd:enumeration value="ACC020"/>
          <xsd:enumeration value="ACC101"/>
          <xsd:enumeration value="ACC102"/>
          <xsd:enumeration value="ACC103"/>
          <xsd:enumeration value="ACC104"/>
          <xsd:enumeration value="ACC105"/>
          <xsd:enumeration value="ACC114"/>
          <xsd:enumeration value="ACC127"/>
          <xsd:enumeration value="ACC130"/>
          <xsd:enumeration value="ACC152"/>
          <xsd:enumeration value="ACC154"/>
          <xsd:enumeration value="ACC210"/>
          <xsd:enumeration value="ACC405"/>
          <xsd:enumeration value="ACC510"/>
          <xsd:enumeration value="ADM002"/>
          <xsd:enumeration value="ADM004"/>
          <xsd:enumeration value="ADM005"/>
          <xsd:enumeration value="ADM006"/>
          <xsd:enumeration value="ADM007"/>
          <xsd:enumeration value="ADM008"/>
          <xsd:enumeration value="ADM009"/>
          <xsd:enumeration value="ADM010"/>
          <xsd:enumeration value="ADM011"/>
          <xsd:enumeration value="ADM013"/>
          <xsd:enumeration value="ADM014"/>
          <xsd:enumeration value="ADM015"/>
          <xsd:enumeration value="ADM018"/>
          <xsd:enumeration value="ADM019"/>
          <xsd:enumeration value="ADM020"/>
          <xsd:enumeration value="ADM021"/>
          <xsd:enumeration value="ADM023"/>
          <xsd:enumeration value="ADM024"/>
          <xsd:enumeration value="ADM026"/>
          <xsd:enumeration value="CXR001"/>
          <xsd:enumeration value="CXR002"/>
          <xsd:enumeration value="CXR003"/>
          <xsd:enumeration value="CXR004"/>
          <xsd:enumeration value="CXR005"/>
          <xsd:enumeration value="CXR006"/>
          <xsd:enumeration value="CXR007"/>
          <xsd:enumeration value="CXR008"/>
          <xsd:enumeration value="CXR009"/>
          <xsd:enumeration value="CXR010"/>
          <xsd:enumeration value="CXR012"/>
          <xsd:enumeration value="CXR013"/>
          <xsd:enumeration value="EHS001"/>
          <xsd:enumeration value="EHS002"/>
          <xsd:enumeration value="EHS003"/>
          <xsd:enumeration value="EHS004"/>
          <xsd:enumeration value="EHS005"/>
          <xsd:enumeration value="EHS006"/>
          <xsd:enumeration value="EHS007"/>
          <xsd:enumeration value="EHS008"/>
          <xsd:enumeration value="EHS009"/>
          <xsd:enumeration value="EHS010"/>
          <xsd:enumeration value="EHS011"/>
          <xsd:enumeration value="EHS012"/>
          <xsd:enumeration value="EHS013"/>
          <xsd:enumeration value="EHS014"/>
          <xsd:enumeration value="EHS015"/>
          <xsd:enumeration value="EHS016"/>
          <xsd:enumeration value="EHS017"/>
          <xsd:enumeration value="EHS018"/>
          <xsd:enumeration value="ELE002"/>
          <xsd:enumeration value="ELE003"/>
          <xsd:enumeration value="ELE004"/>
          <xsd:enumeration value="ELE005"/>
          <xsd:enumeration value="ELE006"/>
          <xsd:enumeration value="ELE007"/>
          <xsd:enumeration value="ELE008"/>
          <xsd:enumeration value="ELE009"/>
          <xsd:enumeration value="ELE014"/>
          <xsd:enumeration value="ELE015"/>
          <xsd:enumeration value="ELE016"/>
          <xsd:enumeration value="ELE017"/>
          <xsd:enumeration value="ELE018"/>
          <xsd:enumeration value="ELE209"/>
          <xsd:enumeration value="ELE214"/>
          <xsd:enumeration value="ELE215"/>
          <xsd:enumeration value="ELE216"/>
          <xsd:enumeration value="ELE401"/>
          <xsd:enumeration value="ELE402"/>
          <xsd:enumeration value="ELE403"/>
          <xsd:enumeration value="ELE404"/>
          <xsd:enumeration value="ELE405"/>
          <xsd:enumeration value="ELE406"/>
          <xsd:enumeration value="FIN001"/>
          <xsd:enumeration value="FIN002"/>
          <xsd:enumeration value="FIN003"/>
          <xsd:enumeration value="FIN004"/>
          <xsd:enumeration value="FIN005"/>
          <xsd:enumeration value="FIN006"/>
          <xsd:enumeration value="FIN007"/>
          <xsd:enumeration value="FIN008"/>
          <xsd:enumeration value="FIN009"/>
          <xsd:enumeration value="FIN013"/>
          <xsd:enumeration value="FIN014"/>
          <xsd:enumeration value="FIN015"/>
          <xsd:enumeration value="FIN017"/>
          <xsd:enumeration value="FIN018"/>
          <xsd:enumeration value="GAS002"/>
          <xsd:enumeration value="GAS005"/>
          <xsd:enumeration value="GAS007"/>
          <xsd:enumeration value="GAS010"/>
          <xsd:enumeration value="GAS011"/>
          <xsd:enumeration value="GAS200"/>
          <xsd:enumeration value="GAS207"/>
          <xsd:enumeration value="GAS210"/>
          <xsd:enumeration value="GAS214"/>
          <xsd:enumeration value="GAS215"/>
          <xsd:enumeration value="GAS274"/>
          <xsd:enumeration value="GAS275"/>
          <xsd:enumeration value="GAS350"/>
          <xsd:enumeration value="GAS375"/>
          <xsd:enumeration value="GAS401"/>
          <xsd:enumeration value="GAS402"/>
          <xsd:enumeration value="GAS403"/>
          <xsd:enumeration value="GAS405"/>
          <xsd:enumeration value="HUM001"/>
          <xsd:enumeration value="HUM002"/>
          <xsd:enumeration value="HUM003"/>
          <xsd:enumeration value="HUM004"/>
          <xsd:enumeration value="HUM005"/>
          <xsd:enumeration value="HUM006"/>
          <xsd:enumeration value="HUM007"/>
          <xsd:enumeration value="HUM008"/>
          <xsd:enumeration value="HUM009"/>
          <xsd:enumeration value="HUM010"/>
          <xsd:enumeration value="HUM011"/>
          <xsd:enumeration value="LEG002"/>
          <xsd:enumeration value="LEG003"/>
          <xsd:enumeration value="LEG004"/>
          <xsd:enumeration value="LEG005"/>
          <xsd:enumeration value="LEG006"/>
          <xsd:enumeration value="LEG007"/>
          <xsd:enumeration value="LEG008"/>
          <xsd:enumeration value="LEG009"/>
          <xsd:enumeration value="LEG012"/>
          <xsd:enumeration value="LEG301"/>
          <xsd:enumeration value="LEG302"/>
          <xsd:enumeration value="LEG303"/>
          <xsd:enumeration value="LEG304"/>
          <xsd:enumeration value="LEG305"/>
          <xsd:enumeration value="LEG306"/>
          <xsd:enumeration value="LEG307"/>
          <xsd:enumeration value="LEG308"/>
          <xsd:enumeration value="LEG309"/>
          <xsd:enumeration value="PRJ001"/>
          <xsd:enumeration value="PRJ002"/>
          <xsd:enumeration value="TAX001"/>
          <xsd:enumeration value="TAX002"/>
          <xsd:enumeration value="TAX003"/>
          <xsd:enumeration value="TAX004"/>
        </xsd:restriction>
      </xsd:simpleType>
    </xsd:element>
    <xsd:element name="Program_x0020_Month" ma:index="14" nillable="true" ma:displayName="Program Month" ma:format="Dropdown" ma:internalName="Program_x0020_Month">
      <xsd:simpleType>
        <xsd:restriction base="dms:Choice">
          <xsd:enumeration value="PM1"/>
          <xsd:enumeration value="PM2"/>
          <xsd:enumeration value="PM3"/>
          <xsd:enumeration value="PM4"/>
          <xsd:enumeration value="PM5"/>
          <xsd:enumeration value="PM6"/>
          <xsd:enumeration value="PM7"/>
          <xsd:enumeration value="PM8"/>
          <xsd:enumeration value="PM9"/>
          <xsd:enumeration value="PM10"/>
          <xsd:enumeration value="PM11"/>
          <xsd:enumeration value="PM12"/>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0fb89a2-95e2-4ef7-bfb8-9e923550209d}" ma:internalName="TaxCatchAll" ma:showField="CatchAllData" ma:web="c165669a-5531-4834-a3c6-766d91a836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c115f9-6d6b-4932-b8c1-5214a931006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da4855-4edc-4d1c-82df-1c029e91f9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DateTaken" ma:index="29"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 xsi:nil="true"/>
    <Program_x0020_Year xmlns="c165669a-5531-4834-a3c6-766d91a836b3" xsi:nil="true"/>
    <Retention_x0020_Code xmlns="c165669a-5531-4834-a3c6-766d91a836b3" xsi:nil="true"/>
    <Program_x0020_Month xmlns="c165669a-5531-4834-a3c6-766d91a836b3" xsi:nil="true"/>
    <SecurityClassification xmlns="c165669a-5531-4834-a3c6-766d91a836b3">Internal</SecurityClassification>
    <AmerenCompany xmlns="c165669a-5531-4834-a3c6-766d91a836b3">Ameren Illinois</AmerenCompany>
    <Document_x0020_Type xmlns="c165669a-5531-4834-a3c6-766d91a836b3" xsi:nil="true"/>
    <TaxCatchAll xmlns="c165669a-5531-4834-a3c6-766d91a836b3" xsi:nil="true"/>
    <lcf76f155ced4ddcb4097134ff3c332f xmlns="0fc115f9-6d6b-4932-b8c1-5214a931006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E591DD-C776-4C3D-95B4-3ADF6DF919EA}"/>
</file>

<file path=customXml/itemProps2.xml><?xml version="1.0" encoding="utf-8"?>
<ds:datastoreItem xmlns:ds="http://schemas.openxmlformats.org/officeDocument/2006/customXml" ds:itemID="{5310C7E2-4C81-46E0-B84F-7DEBDE3B477A}"/>
</file>

<file path=customXml/itemProps3.xml><?xml version="1.0" encoding="utf-8"?>
<ds:datastoreItem xmlns:ds="http://schemas.openxmlformats.org/officeDocument/2006/customXml" ds:itemID="{BCE2CB1D-3061-4333-83FD-8FD131D6D8B7}"/>
</file>

<file path=docProps/app.xml><?xml version="1.0" encoding="utf-8"?>
<Properties xmlns="http://schemas.openxmlformats.org/officeDocument/2006/extended-properties" xmlns:vt="http://schemas.openxmlformats.org/officeDocument/2006/docPropsVTypes">
  <Application>Microsoft Excel Online</Application>
  <Manager/>
  <Company>Exelon 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Grebner, Tina M</cp:lastModifiedBy>
  <cp:revision/>
  <dcterms:created xsi:type="dcterms:W3CDTF">2016-11-04T16:24:21Z</dcterms:created>
  <dcterms:modified xsi:type="dcterms:W3CDTF">2025-07-21T14:24:23Z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0x01010058A2F517F943E5478788C00CC370CF36</vt:lpwstr>
  </property>
  <property fmtid="{D5CDD505-2E9C-101B-9397-08002B2CF9AE}" pid="3" name="MediaServiceImageTags">
    <vt:lpwstr/>
  </property>
</Properties>
</file>