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defaultThemeVersion="124226"/>
  <mc:AlternateContent xmlns:mc="http://schemas.openxmlformats.org/markup-compatibility/2006">
    <mc:Choice Requires="x15">
      <x15ac:absPath xmlns:x15ac="http://schemas.microsoft.com/office/spreadsheetml/2010/11/ac" url="https://ameren.sharepoint.com/sites/AmerenIL-DSM/Portfolio/Quarterly Reports - SAG/Quarterly Reports/2024/2024 Q3/"/>
    </mc:Choice>
  </mc:AlternateContent>
  <xr:revisionPtr revIDLastSave="0" documentId="8_{5F4E9C6C-3BFB-44A0-B8BA-F4A6853FE80C}" xr6:coauthVersionLast="47" xr6:coauthVersionMax="47" xr10:uidLastSave="{00000000-0000-0000-0000-000000000000}"/>
  <bookViews>
    <workbookView xWindow="-110" yWindow="-110" windowWidth="25820" windowHeight="13900"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1" l="1"/>
  <c r="D22" i="2"/>
  <c r="C22" i="2"/>
  <c r="N68" i="1"/>
  <c r="O68" i="1"/>
  <c r="C35" i="1"/>
  <c r="F61" i="1" l="1"/>
  <c r="F57" i="1"/>
  <c r="M37" i="1"/>
  <c r="S37" i="1"/>
  <c r="I29" i="1"/>
  <c r="I63" i="1"/>
  <c r="I59" i="1"/>
  <c r="I56" i="1"/>
  <c r="I57" i="1"/>
  <c r="J25" i="1"/>
  <c r="D70" i="1"/>
  <c r="E25" i="1"/>
  <c r="E30" i="1"/>
  <c r="E29" i="1"/>
  <c r="E24" i="1"/>
  <c r="E23" i="1"/>
  <c r="U68" i="1" l="1"/>
  <c r="V68" i="1"/>
  <c r="W68" i="1"/>
  <c r="T68" i="1"/>
  <c r="P68" i="1"/>
  <c r="Q68" i="1"/>
  <c r="J68" i="1"/>
  <c r="K68" i="1"/>
  <c r="I68" i="1"/>
  <c r="H68" i="1"/>
  <c r="E68" i="1"/>
  <c r="F68" i="1"/>
  <c r="D68" i="1"/>
  <c r="C68" i="1"/>
  <c r="S55" i="1"/>
  <c r="X55" i="1" s="1"/>
  <c r="M55" i="1"/>
  <c r="R55" i="1" s="1"/>
  <c r="L55" i="1"/>
  <c r="G55" i="1"/>
  <c r="E24" i="7" l="1"/>
  <c r="Q78" i="1" l="1"/>
  <c r="Q73" i="1"/>
  <c r="Q72" i="1"/>
  <c r="S33" i="4"/>
  <c r="S32" i="4"/>
  <c r="S31" i="4"/>
  <c r="S30" i="4"/>
  <c r="R24" i="1"/>
  <c r="R28" i="1"/>
  <c r="L33" i="1"/>
  <c r="G33" i="1"/>
  <c r="Q35" i="1" l="1"/>
  <c r="Q30" i="4"/>
  <c r="Q31" i="4"/>
  <c r="Q32" i="4"/>
  <c r="Q33" i="4"/>
  <c r="S29" i="8"/>
  <c r="S28" i="8"/>
  <c r="Q71" i="1"/>
  <c r="C70" i="1" l="1"/>
  <c r="F70" i="1"/>
  <c r="H70" i="1"/>
  <c r="I70" i="1"/>
  <c r="J70" i="1"/>
  <c r="K70" i="1"/>
  <c r="N70" i="1"/>
  <c r="O70" i="1"/>
  <c r="P70" i="1"/>
  <c r="T70" i="1"/>
  <c r="U70" i="1"/>
  <c r="V70" i="1"/>
  <c r="W70" i="1"/>
  <c r="C71" i="1"/>
  <c r="D71" i="1"/>
  <c r="F71" i="1"/>
  <c r="H71" i="1"/>
  <c r="I71" i="1"/>
  <c r="J71" i="1"/>
  <c r="K71" i="1"/>
  <c r="N71" i="1"/>
  <c r="O71" i="1"/>
  <c r="P71" i="1"/>
  <c r="T71" i="1"/>
  <c r="U71" i="1"/>
  <c r="V71" i="1"/>
  <c r="W71" i="1"/>
  <c r="C72" i="1"/>
  <c r="D72" i="1"/>
  <c r="F72" i="1"/>
  <c r="H72" i="1"/>
  <c r="I72" i="1"/>
  <c r="J72" i="1"/>
  <c r="K72" i="1"/>
  <c r="N72" i="1"/>
  <c r="O72" i="1"/>
  <c r="P72" i="1"/>
  <c r="T72" i="1"/>
  <c r="U72" i="1"/>
  <c r="V72" i="1"/>
  <c r="W72" i="1"/>
  <c r="R30" i="4"/>
  <c r="R79" i="1" l="1"/>
  <c r="R80" i="1"/>
  <c r="R81" i="1"/>
  <c r="X24" i="1"/>
  <c r="X26" i="1"/>
  <c r="X70" i="1" s="1"/>
  <c r="X31" i="1"/>
  <c r="X32" i="1"/>
  <c r="X42" i="1"/>
  <c r="G58" i="1"/>
  <c r="G59" i="1"/>
  <c r="G60" i="1"/>
  <c r="G61" i="1"/>
  <c r="G62" i="1"/>
  <c r="G64" i="1"/>
  <c r="G65" i="1"/>
  <c r="G40" i="1"/>
  <c r="G72" i="1" s="1"/>
  <c r="G41" i="1"/>
  <c r="G42" i="1"/>
  <c r="G43" i="1"/>
  <c r="G44" i="1"/>
  <c r="G45" i="1"/>
  <c r="G46" i="1"/>
  <c r="G47" i="1"/>
  <c r="G48" i="1"/>
  <c r="G49" i="1"/>
  <c r="G50" i="1"/>
  <c r="L40" i="1"/>
  <c r="L72" i="1" s="1"/>
  <c r="L41" i="1"/>
  <c r="L42" i="1"/>
  <c r="L43" i="1"/>
  <c r="L44" i="1"/>
  <c r="L45" i="1"/>
  <c r="L46" i="1"/>
  <c r="L47" i="1"/>
  <c r="L48" i="1"/>
  <c r="L49" i="1"/>
  <c r="L50" i="1"/>
  <c r="L39" i="1"/>
  <c r="D73" i="1"/>
  <c r="F73" i="1"/>
  <c r="H73" i="1"/>
  <c r="I73" i="1"/>
  <c r="J73" i="1"/>
  <c r="K73" i="1"/>
  <c r="N73" i="1"/>
  <c r="O73" i="1"/>
  <c r="P73" i="1"/>
  <c r="T73" i="1"/>
  <c r="U73" i="1"/>
  <c r="V73" i="1"/>
  <c r="W73" i="1"/>
  <c r="D74" i="1"/>
  <c r="F74" i="1"/>
  <c r="H74" i="1"/>
  <c r="I74" i="1"/>
  <c r="J74" i="1"/>
  <c r="K74" i="1"/>
  <c r="N74" i="1"/>
  <c r="O74" i="1"/>
  <c r="P74" i="1"/>
  <c r="Q74" i="1"/>
  <c r="T74" i="1"/>
  <c r="U74" i="1"/>
  <c r="V74" i="1"/>
  <c r="W74" i="1"/>
  <c r="D75" i="1"/>
  <c r="H75" i="1"/>
  <c r="I75" i="1"/>
  <c r="J75" i="1"/>
  <c r="N75" i="1"/>
  <c r="O75" i="1"/>
  <c r="P75" i="1"/>
  <c r="Q75" i="1"/>
  <c r="T75" i="1"/>
  <c r="U75" i="1"/>
  <c r="V75" i="1"/>
  <c r="W75" i="1"/>
  <c r="D76" i="1"/>
  <c r="F76" i="1"/>
  <c r="H76" i="1"/>
  <c r="I76" i="1"/>
  <c r="J76" i="1"/>
  <c r="K76" i="1"/>
  <c r="N76" i="1"/>
  <c r="O76" i="1"/>
  <c r="P76" i="1"/>
  <c r="Q76" i="1"/>
  <c r="T76" i="1"/>
  <c r="U76" i="1"/>
  <c r="V76" i="1"/>
  <c r="W76" i="1"/>
  <c r="D77" i="1"/>
  <c r="H77" i="1"/>
  <c r="I77" i="1"/>
  <c r="J77" i="1"/>
  <c r="N77" i="1"/>
  <c r="O77" i="1"/>
  <c r="P77" i="1"/>
  <c r="Q77" i="1"/>
  <c r="T77" i="1"/>
  <c r="U77" i="1"/>
  <c r="V77" i="1"/>
  <c r="W77" i="1"/>
  <c r="D78" i="1"/>
  <c r="F78" i="1"/>
  <c r="H78" i="1"/>
  <c r="I78" i="1"/>
  <c r="J78" i="1"/>
  <c r="K78" i="1"/>
  <c r="N78" i="1"/>
  <c r="O78" i="1"/>
  <c r="P78" i="1"/>
  <c r="T78" i="1"/>
  <c r="U78" i="1"/>
  <c r="V78" i="1"/>
  <c r="W78" i="1"/>
  <c r="C78" i="1"/>
  <c r="C77" i="1"/>
  <c r="C76" i="1"/>
  <c r="C75" i="1"/>
  <c r="C74" i="1"/>
  <c r="C73" i="1"/>
  <c r="E18" i="7"/>
  <c r="E34" i="7" s="1"/>
  <c r="X60" i="1"/>
  <c r="L61" i="1"/>
  <c r="L59" i="1"/>
  <c r="L60" i="1"/>
  <c r="E26" i="7"/>
  <c r="B74" i="1"/>
  <c r="B73" i="1"/>
  <c r="K77" i="1"/>
  <c r="S59" i="1"/>
  <c r="X59" i="1" s="1"/>
  <c r="S60" i="1"/>
  <c r="S62" i="1"/>
  <c r="S74" i="1" s="1"/>
  <c r="S63" i="1"/>
  <c r="S75" i="1" s="1"/>
  <c r="S64" i="1"/>
  <c r="S65" i="1"/>
  <c r="S76" i="1" s="1"/>
  <c r="S66" i="1"/>
  <c r="S77" i="1" s="1"/>
  <c r="S42" i="1"/>
  <c r="S43" i="1"/>
  <c r="X43" i="1" s="1"/>
  <c r="S44" i="1"/>
  <c r="S73" i="1" s="1"/>
  <c r="S45" i="1"/>
  <c r="X45" i="1" s="1"/>
  <c r="S46" i="1"/>
  <c r="X46" i="1" s="1"/>
  <c r="S47" i="1"/>
  <c r="X47" i="1" s="1"/>
  <c r="S48" i="1"/>
  <c r="X48" i="1" s="1"/>
  <c r="S49" i="1"/>
  <c r="X49" i="1" s="1"/>
  <c r="S50" i="1"/>
  <c r="X50" i="1" s="1"/>
  <c r="S51" i="1"/>
  <c r="M62" i="1"/>
  <c r="M74" i="1" s="1"/>
  <c r="R74" i="1" s="1"/>
  <c r="M63" i="1"/>
  <c r="M75" i="1" s="1"/>
  <c r="M64" i="1"/>
  <c r="M65" i="1"/>
  <c r="M76" i="1" s="1"/>
  <c r="M66" i="1"/>
  <c r="M77" i="1" s="1"/>
  <c r="M59" i="1"/>
  <c r="R59" i="1" s="1"/>
  <c r="M60" i="1"/>
  <c r="R60" i="1" s="1"/>
  <c r="M42" i="1"/>
  <c r="R42" i="1" s="1"/>
  <c r="M43" i="1"/>
  <c r="R43" i="1" s="1"/>
  <c r="M44" i="1"/>
  <c r="R44" i="1" s="1"/>
  <c r="M45" i="1"/>
  <c r="M50" i="1"/>
  <c r="R50" i="1" s="1"/>
  <c r="S33" i="1"/>
  <c r="X33" i="1" s="1"/>
  <c r="M33" i="1"/>
  <c r="R33" i="1" s="1"/>
  <c r="Q53" i="1"/>
  <c r="G74" i="1" l="1"/>
  <c r="X75" i="1"/>
  <c r="R75" i="1"/>
  <c r="X74" i="1"/>
  <c r="C83" i="1"/>
  <c r="G78" i="1"/>
  <c r="M78" i="1"/>
  <c r="R78" i="1" s="1"/>
  <c r="R45" i="1"/>
  <c r="E35" i="7"/>
  <c r="K75" i="1"/>
  <c r="L75" i="1" s="1"/>
  <c r="F77" i="1"/>
  <c r="G77" i="1" s="1"/>
  <c r="G66" i="1"/>
  <c r="L78" i="1"/>
  <c r="L74" i="1"/>
  <c r="L73" i="1"/>
  <c r="G76" i="1"/>
  <c r="R77" i="1"/>
  <c r="X76" i="1"/>
  <c r="X77" i="1"/>
  <c r="R76" i="1"/>
  <c r="G57" i="1"/>
  <c r="X73" i="1"/>
  <c r="L76" i="1"/>
  <c r="F75" i="1"/>
  <c r="G63" i="1"/>
  <c r="G73" i="1"/>
  <c r="L77" i="1"/>
  <c r="S78" i="1"/>
  <c r="X78" i="1" s="1"/>
  <c r="X44" i="1"/>
  <c r="M73" i="1"/>
  <c r="R73" i="1" s="1"/>
  <c r="S61" i="1"/>
  <c r="X61" i="1" s="1"/>
  <c r="M61" i="1"/>
  <c r="R61" i="1" s="1"/>
  <c r="R33" i="4"/>
  <c r="R32" i="4"/>
  <c r="R31" i="4"/>
  <c r="R53" i="1"/>
  <c r="G75" i="1" l="1"/>
  <c r="I33" i="3"/>
  <c r="D33" i="3"/>
  <c r="M25" i="1" l="1"/>
  <c r="R25" i="1" s="1"/>
  <c r="M26" i="1"/>
  <c r="M70" i="1" s="1"/>
  <c r="M27" i="1"/>
  <c r="R27" i="1" s="1"/>
  <c r="M28" i="1"/>
  <c r="M29" i="1"/>
  <c r="R29" i="1" s="1"/>
  <c r="M30" i="1"/>
  <c r="R30" i="1" s="1"/>
  <c r="M31" i="1"/>
  <c r="R31" i="1" s="1"/>
  <c r="M32" i="1"/>
  <c r="R32" i="1" s="1"/>
  <c r="M24" i="1"/>
  <c r="M23" i="1"/>
  <c r="R23" i="1" s="1"/>
  <c r="R71" i="1" l="1"/>
  <c r="M71" i="1"/>
  <c r="L64" i="1"/>
  <c r="L65" i="1"/>
  <c r="L66" i="1"/>
  <c r="L30" i="1"/>
  <c r="L31" i="1"/>
  <c r="L32" i="1"/>
  <c r="X64" i="1" l="1"/>
  <c r="X65" i="1"/>
  <c r="S30" i="1"/>
  <c r="X30" i="1" s="1"/>
  <c r="S31" i="1"/>
  <c r="S32" i="1"/>
  <c r="X80" i="1"/>
  <c r="X81" i="1"/>
  <c r="S81" i="1"/>
  <c r="S80" i="1"/>
  <c r="B77" i="1"/>
  <c r="M80" i="1"/>
  <c r="M81" i="1"/>
  <c r="L80" i="1"/>
  <c r="L81" i="1"/>
  <c r="R64" i="1"/>
  <c r="R65" i="1"/>
  <c r="R66" i="1"/>
  <c r="G80" i="1"/>
  <c r="G81" i="1"/>
  <c r="B76" i="1"/>
  <c r="B75" i="1"/>
  <c r="G30" i="1"/>
  <c r="G31" i="1"/>
  <c r="G32" i="1"/>
  <c r="X66" i="1" l="1"/>
  <c r="J53" i="1" l="1"/>
  <c r="J35" i="1"/>
  <c r="J86" i="1" l="1"/>
  <c r="J36" i="1"/>
  <c r="J83" i="1" l="1"/>
  <c r="R33" i="8"/>
  <c r="R34" i="8"/>
  <c r="R35" i="8"/>
  <c r="R36" i="8"/>
  <c r="R28" i="8"/>
  <c r="R29" i="8"/>
  <c r="R32" i="8" s="1"/>
  <c r="R30" i="8"/>
  <c r="R31" i="8"/>
  <c r="Q36" i="8"/>
  <c r="Q29" i="8"/>
  <c r="Q30" i="8"/>
  <c r="S30" i="8" s="1"/>
  <c r="Q31" i="8"/>
  <c r="Q28" i="8"/>
  <c r="T25" i="8"/>
  <c r="T24" i="8"/>
  <c r="T23" i="8"/>
  <c r="T21" i="8"/>
  <c r="T20" i="8"/>
  <c r="T19" i="8"/>
  <c r="T16" i="8"/>
  <c r="T17" i="8"/>
  <c r="T15" i="8"/>
  <c r="R25" i="8"/>
  <c r="Q25" i="8"/>
  <c r="R24" i="8"/>
  <c r="Q24" i="8"/>
  <c r="R23" i="8"/>
  <c r="R26" i="8" s="1"/>
  <c r="Q23" i="8"/>
  <c r="R21" i="8"/>
  <c r="Q21" i="8"/>
  <c r="R20" i="8"/>
  <c r="Q20" i="8"/>
  <c r="R19" i="8"/>
  <c r="R22" i="8" s="1"/>
  <c r="Q19" i="8"/>
  <c r="Q16" i="8"/>
  <c r="R16" i="8"/>
  <c r="S16" i="8" s="1"/>
  <c r="Q17" i="8"/>
  <c r="R17" i="8"/>
  <c r="S17" i="8" s="1"/>
  <c r="R15" i="8"/>
  <c r="Q15" i="8"/>
  <c r="R37" i="8" l="1"/>
  <c r="S36" i="8"/>
  <c r="S31" i="8"/>
  <c r="T26" i="8"/>
  <c r="T22" i="8"/>
  <c r="U17" i="8"/>
  <c r="U16" i="8"/>
  <c r="T18" i="8"/>
  <c r="S19" i="8"/>
  <c r="U19" i="8" s="1"/>
  <c r="R18" i="8"/>
  <c r="S15" i="8"/>
  <c r="S18" i="8" s="1"/>
  <c r="Q18" i="8"/>
  <c r="K37" i="8"/>
  <c r="L36"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6" i="8"/>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D31" i="4"/>
  <c r="E31" i="4"/>
  <c r="F31" i="4"/>
  <c r="G31" i="4"/>
  <c r="H31" i="4"/>
  <c r="I31" i="4"/>
  <c r="J31" i="4"/>
  <c r="K31" i="4"/>
  <c r="L31" i="4"/>
  <c r="M31" i="4"/>
  <c r="N31" i="4"/>
  <c r="O31" i="4"/>
  <c r="P31" i="4"/>
  <c r="D32" i="4"/>
  <c r="E32" i="4"/>
  <c r="F32" i="4"/>
  <c r="G32" i="4"/>
  <c r="H32" i="4"/>
  <c r="I32" i="4"/>
  <c r="J32" i="4"/>
  <c r="K32" i="4"/>
  <c r="L32" i="4"/>
  <c r="M32" i="4"/>
  <c r="N32" i="4"/>
  <c r="O32" i="4"/>
  <c r="P32" i="4"/>
  <c r="D33" i="4"/>
  <c r="E33" i="4"/>
  <c r="F33" i="4"/>
  <c r="G33" i="4"/>
  <c r="H33" i="4"/>
  <c r="I33" i="4"/>
  <c r="J33" i="4"/>
  <c r="K33" i="4"/>
  <c r="L33" i="4"/>
  <c r="M33" i="4"/>
  <c r="N33" i="4"/>
  <c r="O33" i="4"/>
  <c r="P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2" i="3"/>
  <c r="L31" i="3"/>
  <c r="L30" i="3"/>
  <c r="L29" i="3"/>
  <c r="L28" i="3"/>
  <c r="L27" i="3"/>
  <c r="L26" i="3"/>
  <c r="L25" i="3"/>
  <c r="L24" i="3"/>
  <c r="L23" i="3"/>
  <c r="L21" i="3"/>
  <c r="L20" i="3"/>
  <c r="L19" i="3"/>
  <c r="G36" i="3"/>
  <c r="G16" i="3"/>
  <c r="G17" i="3"/>
  <c r="G18" i="3"/>
  <c r="G19" i="3"/>
  <c r="G20" i="3"/>
  <c r="G21" i="3"/>
  <c r="G23" i="3"/>
  <c r="G24" i="3"/>
  <c r="G25" i="3"/>
  <c r="G26" i="3"/>
  <c r="G28" i="3"/>
  <c r="G29" i="3"/>
  <c r="G30" i="3"/>
  <c r="G31" i="3"/>
  <c r="G15" i="3"/>
  <c r="E21" i="2"/>
  <c r="E22" i="2"/>
  <c r="E23" i="2"/>
  <c r="D24" i="2"/>
  <c r="W53" i="1"/>
  <c r="V53" i="1"/>
  <c r="U53" i="1"/>
  <c r="T53" i="1"/>
  <c r="W35" i="1"/>
  <c r="V35" i="1"/>
  <c r="U35" i="1"/>
  <c r="U36" i="1" s="1"/>
  <c r="T35" i="1"/>
  <c r="T36" i="1" s="1"/>
  <c r="M68" i="1"/>
  <c r="P53" i="1"/>
  <c r="O53" i="1"/>
  <c r="N53" i="1"/>
  <c r="P35" i="1"/>
  <c r="P36" i="1" s="1"/>
  <c r="O35" i="1"/>
  <c r="O36" i="1" s="1"/>
  <c r="N35" i="1"/>
  <c r="N36" i="1" s="1"/>
  <c r="S85" i="1"/>
  <c r="S84" i="1"/>
  <c r="S58" i="1"/>
  <c r="X58" i="1" s="1"/>
  <c r="S57" i="1"/>
  <c r="X57" i="1" s="1"/>
  <c r="S56" i="1"/>
  <c r="X56" i="1" s="1"/>
  <c r="S54" i="1"/>
  <c r="S41" i="1"/>
  <c r="X41" i="1" s="1"/>
  <c r="S40" i="1"/>
  <c r="S72" i="1" s="1"/>
  <c r="S39" i="1"/>
  <c r="X39" i="1" s="1"/>
  <c r="X37" i="1"/>
  <c r="S29" i="1"/>
  <c r="X29" i="1" s="1"/>
  <c r="S28" i="1"/>
  <c r="X28" i="1" s="1"/>
  <c r="S27" i="1"/>
  <c r="S71" i="1" s="1"/>
  <c r="S26" i="1"/>
  <c r="S70" i="1" s="1"/>
  <c r="S25" i="1"/>
  <c r="X25" i="1" s="1"/>
  <c r="S24" i="1"/>
  <c r="S23" i="1"/>
  <c r="X23" i="1" s="1"/>
  <c r="R37" i="1"/>
  <c r="M39" i="1"/>
  <c r="R39" i="1" s="1"/>
  <c r="M40" i="1"/>
  <c r="M41" i="1"/>
  <c r="R41" i="1" s="1"/>
  <c r="M46" i="1"/>
  <c r="R46" i="1" s="1"/>
  <c r="M47" i="1"/>
  <c r="R47" i="1" s="1"/>
  <c r="M48" i="1"/>
  <c r="R48" i="1" s="1"/>
  <c r="M49" i="1"/>
  <c r="R49" i="1" s="1"/>
  <c r="M54" i="1"/>
  <c r="M56" i="1"/>
  <c r="R56" i="1" s="1"/>
  <c r="M57" i="1"/>
  <c r="R57" i="1" s="1"/>
  <c r="M58" i="1"/>
  <c r="R58" i="1" s="1"/>
  <c r="M84" i="1"/>
  <c r="M85" i="1"/>
  <c r="X85" i="1"/>
  <c r="X84" i="1"/>
  <c r="R84" i="1"/>
  <c r="R85" i="1"/>
  <c r="K53" i="1"/>
  <c r="I53" i="1"/>
  <c r="H53" i="1"/>
  <c r="K35" i="1"/>
  <c r="I35" i="1"/>
  <c r="L85" i="1"/>
  <c r="L63" i="1"/>
  <c r="L62" i="1"/>
  <c r="L58" i="1"/>
  <c r="L57" i="1"/>
  <c r="L56" i="1"/>
  <c r="L37" i="1"/>
  <c r="L28" i="1"/>
  <c r="L27" i="1"/>
  <c r="L71" i="1" s="1"/>
  <c r="L26" i="1"/>
  <c r="L70" i="1" s="1"/>
  <c r="L25" i="1"/>
  <c r="L24" i="1"/>
  <c r="L23" i="1"/>
  <c r="G37" i="1"/>
  <c r="G39" i="1"/>
  <c r="G56" i="1"/>
  <c r="G85" i="1"/>
  <c r="G24" i="1"/>
  <c r="G25" i="1"/>
  <c r="G26" i="1"/>
  <c r="G70" i="1" s="1"/>
  <c r="G27" i="1"/>
  <c r="G71" i="1" s="1"/>
  <c r="G28" i="1"/>
  <c r="F53" i="1"/>
  <c r="E53" i="1"/>
  <c r="D53" i="1"/>
  <c r="C53" i="1"/>
  <c r="S36" i="1" l="1"/>
  <c r="D13" i="2" s="1"/>
  <c r="M36" i="1"/>
  <c r="C13" i="2" s="1"/>
  <c r="M72" i="1"/>
  <c r="R40" i="1"/>
  <c r="R72" i="1" s="1"/>
  <c r="U86" i="1"/>
  <c r="T86" i="1"/>
  <c r="X40" i="1"/>
  <c r="X72" i="1" s="1"/>
  <c r="X27" i="1"/>
  <c r="X71" i="1" s="1"/>
  <c r="N86" i="1"/>
  <c r="O86" i="1"/>
  <c r="Q36" i="1"/>
  <c r="R26" i="1" s="1"/>
  <c r="Q86" i="1"/>
  <c r="P86" i="1"/>
  <c r="V86" i="1"/>
  <c r="V36" i="1"/>
  <c r="W36" i="1"/>
  <c r="W86" i="1"/>
  <c r="I86" i="1"/>
  <c r="I36" i="1"/>
  <c r="K36" i="1"/>
  <c r="K86" i="1"/>
  <c r="R68" i="1"/>
  <c r="G32" i="3"/>
  <c r="R63" i="1"/>
  <c r="X62" i="1"/>
  <c r="X63" i="1"/>
  <c r="R62" i="1"/>
  <c r="G53" i="1"/>
  <c r="G68" i="1"/>
  <c r="M53" i="1"/>
  <c r="C15" i="2" s="1"/>
  <c r="N22" i="8"/>
  <c r="U15" i="8"/>
  <c r="U18" i="8" s="1"/>
  <c r="N26" i="8"/>
  <c r="N18" i="8"/>
  <c r="L18" i="8"/>
  <c r="L22" i="8"/>
  <c r="L26" i="8"/>
  <c r="E26" i="8"/>
  <c r="G22" i="8"/>
  <c r="G18" i="8"/>
  <c r="G26" i="8"/>
  <c r="E18" i="8"/>
  <c r="D83" i="1"/>
  <c r="S68" i="1"/>
  <c r="D16" i="2" s="1"/>
  <c r="C14" i="2"/>
  <c r="H83" i="1"/>
  <c r="M35" i="1"/>
  <c r="D14" i="2"/>
  <c r="S53" i="1"/>
  <c r="L22" i="3"/>
  <c r="G27" i="3"/>
  <c r="V83" i="1"/>
  <c r="W83" i="1"/>
  <c r="T83" i="1"/>
  <c r="U83" i="1"/>
  <c r="O83" i="1"/>
  <c r="P83" i="1"/>
  <c r="N83" i="1"/>
  <c r="S35" i="1"/>
  <c r="I83" i="1"/>
  <c r="F83" i="1"/>
  <c r="L68" i="1"/>
  <c r="E83" i="1"/>
  <c r="K83" i="1"/>
  <c r="L53" i="1"/>
  <c r="X36" i="1" l="1"/>
  <c r="E13" i="2"/>
  <c r="R36" i="1"/>
  <c r="Q70" i="1"/>
  <c r="Q83" i="1" s="1"/>
  <c r="R70" i="1"/>
  <c r="X35" i="1"/>
  <c r="S86" i="1"/>
  <c r="X86" i="1" s="1"/>
  <c r="R35" i="1"/>
  <c r="M86" i="1"/>
  <c r="R86" i="1" s="1"/>
  <c r="D15" i="2"/>
  <c r="D18" i="2" s="1"/>
  <c r="C16" i="2"/>
  <c r="E16" i="2" s="1"/>
  <c r="E14" i="2"/>
  <c r="M83" i="1"/>
  <c r="C17" i="2" s="1"/>
  <c r="L83" i="1"/>
  <c r="X68" i="1"/>
  <c r="G83" i="1"/>
  <c r="X53" i="1"/>
  <c r="S83" i="1"/>
  <c r="E15" i="2" l="1"/>
  <c r="E18" i="2" s="1"/>
  <c r="C18" i="2"/>
  <c r="R83" i="1"/>
  <c r="L33" i="3"/>
  <c r="C24" i="2"/>
  <c r="E20" i="2"/>
  <c r="E24" i="2" s="1"/>
  <c r="X83" i="1"/>
  <c r="D17" i="2"/>
  <c r="C25" i="2" l="1"/>
  <c r="C30" i="2" s="1"/>
  <c r="C35" i="8" s="1"/>
  <c r="E17" i="2"/>
  <c r="E25" i="2" s="1"/>
  <c r="E30" i="2" s="1"/>
  <c r="G30" i="2" s="1"/>
  <c r="D25" i="2"/>
  <c r="D30" i="2" s="1"/>
  <c r="L34" i="8" l="1"/>
  <c r="J35" i="8"/>
  <c r="L35" i="8" s="1"/>
  <c r="E35" i="8"/>
  <c r="E33" i="8"/>
  <c r="C37" i="8"/>
  <c r="E37" i="8" s="1"/>
  <c r="Q33" i="8"/>
  <c r="L33" i="8"/>
  <c r="J37" i="8" l="1"/>
  <c r="L37" i="8" s="1"/>
  <c r="Q35" i="8"/>
  <c r="S35" i="8" s="1"/>
  <c r="Q34" i="8"/>
  <c r="E34" i="8"/>
  <c r="S33" i="8"/>
  <c r="E37" i="7"/>
  <c r="S34" i="8" l="1"/>
  <c r="Q26" i="8"/>
  <c r="Q37" i="8"/>
  <c r="S37" i="8" s="1"/>
  <c r="E27" i="7"/>
  <c r="E35" i="1"/>
  <c r="E86" i="1" s="1"/>
  <c r="G23" i="1"/>
  <c r="D35" i="1"/>
  <c r="D86" i="1" s="1"/>
  <c r="F35" i="1"/>
  <c r="D36" i="1" l="1"/>
  <c r="E36" i="1"/>
  <c r="E33" i="3"/>
  <c r="F36" i="1"/>
  <c r="F86" i="1"/>
  <c r="E37" i="3" l="1"/>
  <c r="Q12" i="4"/>
  <c r="G33" i="3" l="1"/>
  <c r="L84" i="1"/>
  <c r="G84" i="1"/>
  <c r="G29" i="1"/>
  <c r="H35" i="1" l="1"/>
  <c r="L29" i="1"/>
  <c r="C86" i="1" l="1"/>
  <c r="H86" i="1"/>
  <c r="H36" i="1"/>
  <c r="L36" i="1" s="1"/>
  <c r="L35" i="1"/>
  <c r="C36" i="1"/>
  <c r="G36" i="1" s="1"/>
  <c r="G35" i="1"/>
  <c r="I35" i="3" l="1"/>
  <c r="L35" i="3" s="1"/>
  <c r="D35" i="3"/>
  <c r="G35" i="3" s="1"/>
  <c r="J88" i="1"/>
  <c r="E29" i="7"/>
  <c r="E28" i="7" s="1"/>
  <c r="G34" i="3"/>
  <c r="G86" i="1"/>
  <c r="L86" i="1"/>
  <c r="I37" i="3" l="1"/>
  <c r="L37" i="3" s="1"/>
  <c r="L34" i="3"/>
  <c r="D37" i="3"/>
  <c r="G37" i="3" s="1"/>
  <c r="E36" i="7"/>
  <c r="E38" i="7" s="1"/>
  <c r="E39" i="7" s="1"/>
  <c r="E30" i="7"/>
  <c r="U24" i="8" l="1"/>
  <c r="S24" i="8"/>
  <c r="U21" i="8"/>
  <c r="S21" i="8"/>
  <c r="U25" i="8"/>
  <c r="S25" i="8"/>
  <c r="S22" i="8"/>
  <c r="U26" i="8"/>
  <c r="U23" i="8"/>
  <c r="S23" i="8"/>
  <c r="S26" i="8"/>
  <c r="Q22" i="8"/>
  <c r="S20" i="8"/>
  <c r="U20" i="8"/>
  <c r="U22" i="8"/>
  <c r="Q32" i="8"/>
  <c r="S32" i="8"/>
</calcChain>
</file>

<file path=xl/sharedStrings.xml><?xml version="1.0" encoding="utf-8"?>
<sst xmlns="http://schemas.openxmlformats.org/spreadsheetml/2006/main" count="595" uniqueCount="280">
  <si>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</si>
  <si>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</si>
  <si>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</si>
  <si>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</si>
  <si>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</si>
  <si>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[PY2024 Q3]</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</si>
  <si>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</si>
  <si>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</si>
  <si>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</si>
  <si>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</si>
  <si>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</si>
  <si>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</si>
  <si>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</si>
  <si>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</si>
  <si>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</si>
  <si>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</si>
  <si>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</si>
  <si>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</si>
  <si>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</si>
  <si>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</si>
  <si>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</si>
  <si>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</si>
  <si>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</si>
  <si>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</si>
  <si>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</si>
  <si>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</si>
  <si>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</si>
  <si>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</si>
  <si>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</si>
  <si>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</si>
  <si>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</si>
  <si>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</si>
  <si>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</si>
  <si>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</si>
  <si>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</si>
  <si>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</si>
  <si>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</si>
  <si>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</si>
  <si>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</si>
  <si>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</si>
  <si>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</si>
  <si>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</si>
  <si>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</si>
  <si>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</si>
  <si>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</si>
  <si>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</si>
  <si>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</si>
  <si>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</si>
  <si>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</si>
  <si>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</si>
  <si>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</si>
  <si>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</si>
  <si>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New Construction</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</si>
  <si>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</si>
  <si>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</si>
  <si>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</si>
  <si>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</si>
  <si>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</si>
  <si>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</si>
  <si>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</si>
  <si>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</si>
  <si>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</si>
  <si>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</si>
  <si>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</si>
  <si>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</si>
  <si>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</si>
  <si>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Midstream - Lighting (Business)</t>
  </si>
  <si>
    <t>Midstream - HVAC (Business)</t>
  </si>
  <si>
    <t>Midstream - Midstream HVAC (Residential)</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</si>
  <si>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</si>
  <si>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</si>
  <si>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</si>
  <si>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</si>
  <si>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</si>
  <si>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</si>
  <si>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</si>
  <si>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</si>
  <si>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</si>
  <si>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</si>
  <si>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</si>
  <si>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</si>
  <si>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</si>
  <si>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</si>
  <si>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</si>
  <si>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</si>
  <si>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[PY2024 Q3]</t>
  </si>
  <si>
    <t>Section 8-103B/8-104 (EEPS) Cost Category</t>
  </si>
  <si>
    <t xml:space="preserve"> 2024
Actual Electric Costs YTD</t>
  </si>
  <si>
    <t xml:space="preserve"> 2024
Actual Gas Costs YTD</t>
  </si>
  <si>
    <t xml:space="preserve"> 2024
Total Actual Costs YTD</t>
  </si>
  <si>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</si>
  <si>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</si>
  <si>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</si>
  <si>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</si>
  <si>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</si>
  <si>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</si>
  <si>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</si>
  <si>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</si>
  <si>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</si>
  <si>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</si>
  <si>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</si>
  <si>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</si>
  <si>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[PY2024 Q3]</t>
  </si>
  <si>
    <t>Overall Total Costs</t>
  </si>
  <si>
    <t>2024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</si>
  <si>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</si>
  <si>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</si>
  <si>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</si>
  <si>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</si>
  <si>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</si>
  <si>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</si>
  <si>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[PY2024 Q3]</t>
  </si>
  <si>
    <t>Cumulative Persisting Annual Savings (CPAS) Goal Progress [PY2024 Q3]</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</si>
  <si>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</si>
  <si>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</si>
  <si>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</si>
  <si>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</si>
  <si>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</si>
  <si>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</si>
  <si>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</si>
  <si>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</si>
  <si>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</si>
  <si>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</si>
  <si>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</si>
  <si>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</si>
  <si>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</si>
  <si>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</si>
  <si>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</si>
  <si>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</si>
  <si>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</si>
  <si>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</si>
  <si>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</si>
  <si>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</si>
  <si>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</si>
  <si>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</si>
  <si>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</si>
  <si>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</si>
  <si>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</si>
  <si>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</si>
  <si>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</si>
  <si>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</si>
  <si>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</si>
  <si>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</si>
  <si>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</si>
  <si>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</si>
  <si>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</si>
  <si>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</si>
  <si>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</si>
  <si>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</si>
  <si>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</si>
  <si>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</si>
  <si>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</si>
  <si>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</si>
  <si>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</si>
  <si>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</si>
  <si>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</si>
  <si>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</si>
  <si>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</si>
  <si>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</si>
  <si>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</si>
  <si>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</si>
  <si>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</si>
  <si>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</si>
  <si>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</si>
  <si>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</si>
  <si>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</si>
  <si>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</si>
  <si>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</si>
  <si>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</si>
  <si>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</si>
  <si>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</si>
  <si>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</si>
  <si>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</si>
  <si>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</si>
  <si>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</si>
  <si>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</si>
  <si>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</si>
  <si>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</si>
  <si>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[PY2024 Q3]</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</si>
  <si>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</si>
  <si>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</si>
  <si>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</si>
  <si>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</si>
  <si>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</si>
  <si>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</si>
  <si>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</si>
  <si>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</si>
  <si>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</si>
  <si>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</si>
  <si>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</si>
  <si>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</si>
  <si>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</si>
  <si>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</si>
  <si>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</si>
  <si>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</si>
  <si>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</si>
  <si>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</si>
  <si>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</si>
  <si>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</si>
  <si>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</si>
  <si>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</si>
  <si>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</si>
  <si>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</si>
  <si>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</si>
  <si>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</si>
  <si>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</si>
  <si>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</si>
  <si>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</si>
  <si>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</si>
  <si>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</si>
  <si>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</si>
  <si>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</si>
  <si>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</si>
  <si>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</si>
  <si>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</si>
  <si>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</si>
  <si>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</si>
  <si>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</si>
  <si>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</si>
  <si>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</si>
  <si>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</si>
  <si>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</si>
  <si>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</si>
  <si>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</si>
  <si>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</si>
  <si>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</si>
  <si>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</si>
  <si>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</si>
  <si>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</si>
  <si>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</si>
  <si>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</si>
  <si>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</si>
  <si>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Ex-Ante</t>
  </si>
  <si>
    <t>2022-2025 Plan Total</t>
  </si>
  <si>
    <t>Ex Ante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</si>
  <si>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</si>
  <si>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</si>
  <si>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</si>
  <si>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</si>
  <si>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</si>
  <si>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[PY2024 Q3]</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</si>
  <si>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</si>
  <si>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</si>
  <si>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</si>
  <si>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</si>
  <si>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</si>
  <si>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</si>
  <si>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</si>
  <si>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</si>
  <si>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</si>
  <si>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</si>
  <si>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</si>
  <si>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</si>
  <si>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</si>
  <si>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</si>
  <si>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</si>
  <si>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</si>
  <si>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</si>
  <si>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</si>
  <si>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</si>
  <si>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[PY2024 Q3]</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</si>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</sst>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 numFmtId="170" formatCode="_([$$-409]* #,##0.00_);_([$$-409]* \(#,##0.00\);_([$$-409]* &quot;-&quot;??_);_(@_)"/>
  </numFmts>
  <fonts count="45">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rgb="FF000000"/>
      <name val="Calibri"/>
      <family val="2"/>
    </font>
    <font>
      <sz val="11"/>
      <color theme="0" tint="-4.9989318521683403E-2"/>
      <name val="Calibri"/>
      <family val="2"/>
      <scheme val="minor"/>
    </font>
    <font>
      <sz val="10"/>
      <color theme="0" tint="-0.14999847407452621"/>
      <name val="Century Gothic"/>
      <family val="2"/>
    </font>
    <font>
      <sz val="11"/>
      <color theme="1"/>
      <name val="Calibri"/>
      <family val="2"/>
    </font>
    <font>
      <b/>
      <sz val="10"/>
      <color rgb="FF000000"/>
      <name val="Century Gothic"/>
      <family val="2"/>
    </font>
    <font>
      <b/>
      <sz val="10"/>
      <color theme="1"/>
      <name val="Century Gothic"/>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6">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79">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17" fillId="2" borderId="2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8" fillId="10" borderId="0" xfId="0" applyFont="1" applyFill="1"/>
    <xf numFmtId="10" fontId="2" fillId="10" borderId="22" xfId="4"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29" fillId="10" borderId="0" xfId="0" applyFont="1" applyFill="1"/>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0" fontId="30" fillId="10" borderId="22" xfId="4" applyNumberFormat="1" applyFont="1" applyFill="1" applyBorder="1" applyAlignment="1">
      <alignment horizontal="center"/>
    </xf>
    <xf numFmtId="44" fontId="30" fillId="10" borderId="1" xfId="2" applyFont="1" applyFill="1" applyBorder="1" applyAlignment="1">
      <alignment horizontal="left" wrapText="1"/>
    </xf>
    <xf numFmtId="0" fontId="31" fillId="10" borderId="0" xfId="0" applyFont="1" applyFill="1"/>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0" fontId="3" fillId="12" borderId="20" xfId="4"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0" fontId="32" fillId="6" borderId="22" xfId="4" applyNumberFormat="1" applyFont="1" applyFill="1" applyBorder="1" applyAlignment="1">
      <alignment horizontal="center"/>
    </xf>
    <xf numFmtId="44" fontId="32" fillId="6" borderId="21" xfId="2" applyFont="1" applyFill="1" applyBorder="1" applyAlignment="1">
      <alignment horizontal="left"/>
    </xf>
    <xf numFmtId="44" fontId="32" fillId="6" borderId="1" xfId="2"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2"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0" fillId="10" borderId="1" xfId="0" applyFont="1" applyFill="1" applyBorder="1" applyAlignment="1">
      <alignment vertical="center"/>
    </xf>
    <xf numFmtId="44" fontId="30" fillId="10" borderId="1" xfId="2" applyFont="1" applyFill="1" applyBorder="1" applyAlignment="1">
      <alignment vertical="center"/>
    </xf>
    <xf numFmtId="44" fontId="30"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0" fillId="3" borderId="33" xfId="0" applyFont="1" applyFill="1" applyBorder="1" applyAlignment="1">
      <alignment horizontal="right" wrapText="1"/>
    </xf>
    <xf numFmtId="0" fontId="3" fillId="4" borderId="33" xfId="0" applyFont="1" applyFill="1" applyBorder="1" applyAlignment="1">
      <alignmen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1"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4" fillId="10" borderId="0" xfId="0" applyFont="1" applyFill="1"/>
    <xf numFmtId="0" fontId="24" fillId="10" borderId="0" xfId="0" applyFont="1" applyFill="1" applyAlignment="1">
      <alignment horizontal="center"/>
    </xf>
    <xf numFmtId="0" fontId="22" fillId="10" borderId="0" xfId="0" applyFont="1" applyFill="1"/>
    <xf numFmtId="0" fontId="23" fillId="10" borderId="0" xfId="0" applyFont="1" applyFill="1"/>
    <xf numFmtId="0" fontId="25" fillId="10" borderId="8" xfId="0" applyFont="1" applyFill="1" applyBorder="1" applyAlignment="1">
      <alignment vertical="center"/>
    </xf>
    <xf numFmtId="0" fontId="25" fillId="10" borderId="9" xfId="0" applyFont="1" applyFill="1" applyBorder="1" applyAlignment="1">
      <alignment vertical="center"/>
    </xf>
    <xf numFmtId="0" fontId="25"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5"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44" fontId="2" fillId="0" borderId="21" xfId="2" applyFont="1" applyFill="1" applyBorder="1" applyAlignment="1">
      <alignment horizontal="center"/>
    </xf>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44" fontId="2" fillId="3" borderId="1" xfId="2" applyFont="1" applyFill="1" applyBorder="1" applyAlignment="1">
      <alignment horizontal="center" wrapText="1"/>
    </xf>
    <xf numFmtId="44" fontId="2" fillId="3" borderId="1" xfId="2" applyFont="1" applyFill="1" applyBorder="1" applyAlignment="1">
      <alignment horizontal="center"/>
    </xf>
    <xf numFmtId="10" fontId="0" fillId="10" borderId="0" xfId="0" applyNumberFormat="1" applyFill="1"/>
    <xf numFmtId="0" fontId="40" fillId="10" borderId="0" xfId="0" applyFont="1" applyFill="1"/>
    <xf numFmtId="44" fontId="2" fillId="10" borderId="10" xfId="2" applyFont="1" applyFill="1" applyBorder="1" applyAlignment="1">
      <alignment horizontal="left" wrapText="1"/>
    </xf>
    <xf numFmtId="10" fontId="30" fillId="10" borderId="8" xfId="4" applyNumberFormat="1" applyFont="1" applyFill="1" applyBorder="1" applyAlignment="1">
      <alignment horizontal="center"/>
    </xf>
    <xf numFmtId="44" fontId="30" fillId="10" borderId="19" xfId="2" applyFont="1" applyFill="1" applyBorder="1" applyAlignment="1">
      <alignment horizontal="left" wrapText="1"/>
    </xf>
    <xf numFmtId="167" fontId="30" fillId="10" borderId="33" xfId="1" applyNumberFormat="1" applyFont="1" applyFill="1" applyBorder="1" applyAlignment="1">
      <alignment horizontal="left" wrapText="1"/>
    </xf>
    <xf numFmtId="10" fontId="41" fillId="10" borderId="22" xfId="4" applyNumberFormat="1" applyFont="1" applyFill="1" applyBorder="1" applyAlignment="1">
      <alignment horizontal="center"/>
    </xf>
    <xf numFmtId="44" fontId="41" fillId="10" borderId="9" xfId="2" applyFont="1" applyFill="1" applyBorder="1" applyAlignment="1">
      <alignment horizontal="left" wrapText="1"/>
    </xf>
    <xf numFmtId="44" fontId="41" fillId="10" borderId="1" xfId="2" applyFont="1" applyFill="1" applyBorder="1" applyAlignment="1">
      <alignment horizontal="left" wrapText="1"/>
    </xf>
    <xf numFmtId="44" fontId="41" fillId="10" borderId="10" xfId="2" applyFont="1" applyFill="1" applyBorder="1" applyAlignment="1">
      <alignment horizontal="left" wrapText="1"/>
    </xf>
    <xf numFmtId="167" fontId="30" fillId="0" borderId="33" xfId="1" applyNumberFormat="1" applyFont="1" applyFill="1" applyBorder="1" applyAlignment="1">
      <alignment horizontal="left" wrapText="1"/>
    </xf>
    <xf numFmtId="0" fontId="5" fillId="8" borderId="1" xfId="0" applyFont="1" applyFill="1" applyBorder="1" applyAlignment="1">
      <alignment horizontal="center" vertical="center"/>
    </xf>
    <xf numFmtId="165" fontId="7" fillId="10" borderId="21" xfId="1" applyNumberFormat="1" applyFont="1" applyFill="1" applyBorder="1" applyAlignment="1">
      <alignment horizontal="center" vertical="center" wrapText="1"/>
    </xf>
    <xf numFmtId="10" fontId="7" fillId="10" borderId="8" xfId="4" applyNumberFormat="1" applyFont="1" applyFill="1" applyBorder="1" applyAlignment="1">
      <alignment horizontal="center" wrapText="1"/>
    </xf>
    <xf numFmtId="165" fontId="7" fillId="10" borderId="21" xfId="1" applyNumberFormat="1" applyFont="1" applyFill="1" applyBorder="1" applyAlignment="1">
      <alignment horizontal="center" wrapText="1"/>
    </xf>
    <xf numFmtId="165" fontId="7" fillId="10" borderId="21" xfId="1" applyNumberFormat="1" applyFont="1" applyFill="1" applyBorder="1" applyAlignment="1">
      <alignment horizontal="left" wrapText="1"/>
    </xf>
    <xf numFmtId="165" fontId="7" fillId="10" borderId="21" xfId="1" applyNumberFormat="1" applyFont="1" applyFill="1" applyBorder="1" applyAlignment="1">
      <alignment horizontal="center"/>
    </xf>
    <xf numFmtId="165" fontId="10" fillId="6" borderId="21" xfId="1" applyNumberFormat="1" applyFont="1" applyFill="1" applyBorder="1" applyAlignment="1">
      <alignment horizontal="left"/>
    </xf>
    <xf numFmtId="165" fontId="10" fillId="6" borderId="1" xfId="1" applyNumberFormat="1" applyFont="1" applyFill="1" applyBorder="1" applyAlignment="1">
      <alignment horizontal="center"/>
    </xf>
    <xf numFmtId="10" fontId="10" fillId="6" borderId="8" xfId="4" applyNumberFormat="1" applyFont="1" applyFill="1" applyBorder="1" applyAlignment="1">
      <alignment horizontal="center"/>
    </xf>
    <xf numFmtId="165" fontId="7" fillId="3" borderId="1" xfId="1" applyNumberFormat="1" applyFont="1" applyFill="1" applyBorder="1" applyAlignment="1">
      <alignment horizontal="center" wrapText="1"/>
    </xf>
    <xf numFmtId="10" fontId="7" fillId="3" borderId="8" xfId="4" applyNumberFormat="1" applyFont="1" applyFill="1" applyBorder="1" applyAlignment="1">
      <alignment horizontal="center" wrapText="1"/>
    </xf>
    <xf numFmtId="165" fontId="7" fillId="3" borderId="1" xfId="1" applyNumberFormat="1" applyFont="1" applyFill="1" applyBorder="1" applyAlignment="1">
      <alignment horizontal="center"/>
    </xf>
    <xf numFmtId="165" fontId="10" fillId="12" borderId="19" xfId="1" applyNumberFormat="1" applyFont="1" applyFill="1" applyBorder="1" applyAlignment="1">
      <alignment vertical="center" wrapText="1"/>
    </xf>
    <xf numFmtId="165" fontId="10" fillId="12" borderId="9" xfId="1" applyNumberFormat="1" applyFont="1" applyFill="1" applyBorder="1" applyAlignment="1">
      <alignment vertical="center" wrapText="1"/>
    </xf>
    <xf numFmtId="10" fontId="10" fillId="12" borderId="9" xfId="4" applyNumberFormat="1" applyFont="1" applyFill="1" applyBorder="1" applyAlignment="1">
      <alignment vertical="center" wrapText="1"/>
    </xf>
    <xf numFmtId="165" fontId="10" fillId="12" borderId="28" xfId="1" applyNumberFormat="1" applyFont="1" applyFill="1" applyBorder="1" applyAlignment="1">
      <alignment vertical="center" wrapText="1"/>
    </xf>
    <xf numFmtId="165" fontId="10" fillId="12" borderId="4" xfId="1" applyNumberFormat="1" applyFont="1" applyFill="1" applyBorder="1" applyAlignment="1">
      <alignment vertical="center" wrapText="1"/>
    </xf>
    <xf numFmtId="10" fontId="7" fillId="10" borderId="8" xfId="4" applyNumberFormat="1" applyFont="1" applyFill="1" applyBorder="1" applyAlignment="1">
      <alignment horizontal="center"/>
    </xf>
    <xf numFmtId="165" fontId="7" fillId="10" borderId="19" xfId="1" applyNumberFormat="1" applyFont="1" applyFill="1" applyBorder="1" applyAlignment="1">
      <alignment horizontal="left" wrapText="1"/>
    </xf>
    <xf numFmtId="165" fontId="7" fillId="10" borderId="1" xfId="1" applyNumberFormat="1" applyFont="1" applyFill="1" applyBorder="1" applyAlignment="1">
      <alignment horizontal="left" wrapText="1"/>
    </xf>
    <xf numFmtId="10" fontId="7" fillId="10" borderId="22" xfId="4" applyNumberFormat="1" applyFont="1" applyFill="1" applyBorder="1" applyAlignment="1">
      <alignment horizontal="center"/>
    </xf>
    <xf numFmtId="165" fontId="7" fillId="10" borderId="10" xfId="1" applyNumberFormat="1" applyFont="1" applyFill="1" applyBorder="1" applyAlignment="1">
      <alignment horizontal="left" wrapText="1"/>
    </xf>
    <xf numFmtId="165" fontId="7" fillId="10" borderId="21" xfId="1" applyNumberFormat="1" applyFont="1" applyFill="1" applyBorder="1" applyAlignment="1">
      <alignment horizontal="left"/>
    </xf>
    <xf numFmtId="165" fontId="7" fillId="10" borderId="10" xfId="1" applyNumberFormat="1" applyFont="1" applyFill="1" applyBorder="1" applyAlignment="1">
      <alignment horizontal="center"/>
    </xf>
    <xf numFmtId="10" fontId="7" fillId="3" borderId="22" xfId="4" applyNumberFormat="1" applyFont="1" applyFill="1" applyBorder="1" applyAlignment="1">
      <alignment horizontal="center" wrapText="1"/>
    </xf>
    <xf numFmtId="43" fontId="43" fillId="10" borderId="0" xfId="0" applyNumberFormat="1" applyFont="1" applyFill="1" applyAlignment="1">
      <alignment horizontal="center"/>
    </xf>
    <xf numFmtId="165" fontId="7" fillId="0" borderId="21" xfId="1" applyNumberFormat="1" applyFont="1" applyFill="1" applyBorder="1" applyAlignment="1">
      <alignment horizontal="center" vertical="center" wrapText="1"/>
    </xf>
    <xf numFmtId="165" fontId="7" fillId="0" borderId="21" xfId="1" applyNumberFormat="1" applyFont="1" applyFill="1" applyBorder="1" applyAlignment="1">
      <alignment horizontal="center" wrapText="1"/>
    </xf>
    <xf numFmtId="44" fontId="7" fillId="3" borderId="1" xfId="2" applyFont="1" applyFill="1" applyBorder="1" applyAlignment="1">
      <alignment horizontal="center" wrapText="1"/>
    </xf>
    <xf numFmtId="170" fontId="2" fillId="3" borderId="21" xfId="2" applyNumberFormat="1" applyFont="1" applyFill="1" applyBorder="1" applyAlignment="1">
      <alignment horizontal="right" wrapText="1"/>
    </xf>
    <xf numFmtId="170" fontId="2" fillId="3" borderId="21" xfId="2" applyNumberFormat="1" applyFont="1" applyFill="1" applyBorder="1" applyAlignment="1">
      <alignment horizontal="center" wrapText="1"/>
    </xf>
    <xf numFmtId="44" fontId="2" fillId="10" borderId="1" xfId="2" applyFont="1" applyFill="1" applyBorder="1" applyAlignment="1">
      <alignment horizontal="left" wrapText="1"/>
    </xf>
    <xf numFmtId="165" fontId="44" fillId="6" borderId="21" xfId="1" applyNumberFormat="1" applyFont="1" applyFill="1" applyBorder="1" applyAlignment="1">
      <alignment horizontal="left"/>
    </xf>
    <xf numFmtId="170" fontId="39" fillId="3" borderId="10" xfId="0" applyNumberFormat="1" applyFont="1" applyFill="1" applyBorder="1"/>
    <xf numFmtId="170" fontId="42" fillId="3" borderId="10" xfId="0" applyNumberFormat="1" applyFont="1" applyFill="1" applyBorder="1"/>
    <xf numFmtId="165" fontId="7" fillId="3" borderId="21" xfId="1" applyNumberFormat="1" applyFont="1" applyFill="1" applyBorder="1" applyAlignment="1">
      <alignment horizontal="center"/>
    </xf>
    <xf numFmtId="165" fontId="7" fillId="3" borderId="21" xfId="1" applyNumberFormat="1" applyFont="1" applyFill="1" applyBorder="1" applyAlignment="1">
      <alignment horizontal="left" wrapText="1"/>
    </xf>
    <xf numFmtId="164" fontId="2" fillId="10" borderId="21" xfId="2" applyNumberFormat="1" applyFont="1" applyFill="1" applyBorder="1" applyAlignment="1">
      <alignment horizontal="center"/>
    </xf>
    <xf numFmtId="164" fontId="3" fillId="6" borderId="21" xfId="2" applyNumberFormat="1" applyFont="1" applyFill="1" applyBorder="1" applyAlignment="1">
      <alignment horizontal="left"/>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7" fillId="10" borderId="8" xfId="0" applyFont="1" applyFill="1" applyBorder="1" applyAlignment="1">
      <alignment horizontal="right" vertical="center"/>
    </xf>
    <xf numFmtId="0" fontId="27" fillId="10" borderId="10" xfId="0" applyFont="1" applyFill="1" applyBorder="1" applyAlignment="1">
      <alignment horizontal="right" vertical="center"/>
    </xf>
    <xf numFmtId="0" fontId="25" fillId="10" borderId="8" xfId="0" applyFont="1" applyFill="1" applyBorder="1" applyAlignment="1">
      <alignment horizontal="left" vertical="center"/>
    </xf>
    <xf numFmtId="0" fontId="25" fillId="10" borderId="10" xfId="0" applyFont="1" applyFill="1" applyBorder="1" applyAlignment="1">
      <alignment horizontal="left" vertical="center"/>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8" borderId="8" xfId="0" applyFont="1" applyFill="1" applyBorder="1" applyAlignment="1">
      <alignment horizontal="left" vertical="center"/>
    </xf>
    <xf numFmtId="0" fontId="5" fillId="8"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4"/>
  <sheetViews>
    <sheetView tabSelected="1" topLeftCell="A18" zoomScale="85" zoomScaleNormal="85" workbookViewId="0">
      <pane xSplit="2" ySplit="4" topLeftCell="C22" activePane="bottomRight" state="frozen"/>
      <selection pane="bottomRight" activeCell="C22" sqref="C22"/>
      <selection pane="bottomLeft" activeCell="A22" sqref="A22"/>
      <selection pane="topRight" activeCell="C18" sqref="C18"/>
    </sheetView>
  </sheetViews>
  <sheetFormatPr defaultColWidth="9.140625" defaultRowHeight="14.45"/>
  <cols>
    <col min="1" max="1" width="2.85546875" style="53" customWidth="1"/>
    <col min="2" max="2" width="64.7109375" style="53" customWidth="1"/>
    <col min="3" max="12" width="17.7109375" style="53" customWidth="1"/>
    <col min="13" max="24" width="19.28515625" style="53" customWidth="1"/>
    <col min="25" max="16384" width="9.140625" style="53"/>
  </cols>
  <sheetData>
    <row r="1" spans="2:24">
      <c r="B1" s="54" t="s">
        <v>0</v>
      </c>
      <c r="C1" s="54"/>
    </row>
    <row r="2" spans="2:24">
      <c r="B2" s="54" t="s">
        <v>1</v>
      </c>
      <c r="C2" s="54"/>
    </row>
    <row r="3" spans="2:24">
      <c r="B3" s="54" t="s">
        <v>2</v>
      </c>
      <c r="C3" s="54"/>
    </row>
    <row r="4" spans="2:24">
      <c r="B4" s="54"/>
      <c r="C4" s="54"/>
    </row>
    <row r="5" spans="2:24" ht="42" customHeight="1">
      <c r="B5" s="307" t="s">
        <v>3</v>
      </c>
      <c r="C5" s="308"/>
      <c r="D5" s="308"/>
      <c r="E5" s="308"/>
      <c r="F5" s="308"/>
      <c r="G5" s="308"/>
      <c r="H5" s="308"/>
      <c r="I5" s="308"/>
      <c r="J5" s="308"/>
      <c r="K5" s="308"/>
      <c r="L5" s="308"/>
      <c r="M5" s="308"/>
      <c r="N5" s="308"/>
      <c r="O5" s="308"/>
      <c r="P5" s="308"/>
      <c r="Q5" s="308"/>
      <c r="R5" s="308"/>
      <c r="S5" s="308"/>
      <c r="T5" s="308"/>
      <c r="U5" s="308"/>
      <c r="V5" s="308"/>
      <c r="W5" s="308"/>
      <c r="X5" s="309"/>
    </row>
    <row r="6" spans="2:24" ht="23.1" customHeight="1">
      <c r="B6" s="310"/>
      <c r="C6" s="311"/>
      <c r="D6" s="311"/>
      <c r="E6" s="311"/>
      <c r="F6" s="311"/>
      <c r="G6" s="311"/>
      <c r="H6" s="311"/>
      <c r="I6" s="311"/>
      <c r="J6" s="311"/>
      <c r="K6" s="311"/>
      <c r="L6" s="311"/>
      <c r="M6" s="311"/>
      <c r="N6" s="311"/>
      <c r="O6" s="311"/>
      <c r="P6" s="311"/>
      <c r="Q6" s="311"/>
      <c r="R6" s="311"/>
      <c r="S6" s="311"/>
      <c r="T6" s="311"/>
      <c r="U6" s="311"/>
      <c r="V6" s="311"/>
      <c r="W6" s="311"/>
      <c r="X6" s="312"/>
    </row>
    <row r="7" spans="2:24">
      <c r="B7" s="93"/>
      <c r="C7" s="54"/>
    </row>
    <row r="8" spans="2:24" ht="14.45" customHeight="1">
      <c r="B8" s="313" t="s">
        <v>4</v>
      </c>
      <c r="C8" s="313"/>
      <c r="D8" s="313"/>
      <c r="E8" s="313"/>
      <c r="F8" s="313"/>
      <c r="G8" s="313"/>
      <c r="H8" s="313"/>
      <c r="I8" s="313"/>
      <c r="J8" s="313"/>
      <c r="K8" s="313"/>
      <c r="L8" s="313"/>
      <c r="M8" s="313"/>
      <c r="N8" s="313"/>
      <c r="O8" s="313"/>
      <c r="P8" s="313"/>
      <c r="Q8" s="313"/>
      <c r="R8" s="313"/>
      <c r="S8" s="313"/>
      <c r="T8" s="313"/>
      <c r="U8" s="313"/>
      <c r="V8" s="313"/>
      <c r="W8" s="313"/>
      <c r="X8" s="313"/>
    </row>
    <row r="9" spans="2:24" ht="12.6" customHeight="1">
      <c r="B9" s="313"/>
      <c r="C9" s="313"/>
      <c r="D9" s="313"/>
      <c r="E9" s="313"/>
      <c r="F9" s="313"/>
      <c r="G9" s="313"/>
      <c r="H9" s="313"/>
      <c r="I9" s="313"/>
      <c r="J9" s="313"/>
      <c r="K9" s="313"/>
      <c r="L9" s="313"/>
      <c r="M9" s="313"/>
      <c r="N9" s="313"/>
      <c r="O9" s="313"/>
      <c r="P9" s="313"/>
      <c r="Q9" s="313"/>
      <c r="R9" s="313"/>
      <c r="S9" s="313"/>
      <c r="T9" s="313"/>
      <c r="U9" s="313"/>
      <c r="V9" s="313"/>
      <c r="W9" s="313"/>
      <c r="X9" s="313"/>
    </row>
    <row r="10" spans="2:24" ht="15" customHeight="1">
      <c r="B10" s="313"/>
      <c r="C10" s="313"/>
      <c r="D10" s="313"/>
      <c r="E10" s="313"/>
      <c r="F10" s="313"/>
      <c r="G10" s="313"/>
      <c r="H10" s="313"/>
      <c r="I10" s="313"/>
      <c r="J10" s="313"/>
      <c r="K10" s="313"/>
      <c r="L10" s="313"/>
      <c r="M10" s="313"/>
      <c r="N10" s="313"/>
      <c r="O10" s="313"/>
      <c r="P10" s="313"/>
      <c r="Q10" s="313"/>
      <c r="R10" s="313"/>
      <c r="S10" s="313"/>
      <c r="T10" s="313"/>
      <c r="U10" s="313"/>
      <c r="V10" s="313"/>
      <c r="W10" s="313"/>
      <c r="X10" s="313"/>
    </row>
    <row r="11" spans="2:24" ht="15" customHeight="1">
      <c r="B11" s="313"/>
      <c r="C11" s="313"/>
      <c r="D11" s="313"/>
      <c r="E11" s="313"/>
      <c r="F11" s="313"/>
      <c r="G11" s="313"/>
      <c r="H11" s="313"/>
      <c r="I11" s="313"/>
      <c r="J11" s="313"/>
      <c r="K11" s="313"/>
      <c r="L11" s="313"/>
      <c r="M11" s="313"/>
      <c r="N11" s="313"/>
      <c r="O11" s="313"/>
      <c r="P11" s="313"/>
      <c r="Q11" s="313"/>
      <c r="R11" s="313"/>
      <c r="S11" s="313"/>
      <c r="T11" s="313"/>
      <c r="U11" s="313"/>
      <c r="V11" s="313"/>
      <c r="W11" s="313"/>
      <c r="X11" s="313"/>
    </row>
    <row r="12" spans="2:24" ht="15" customHeight="1">
      <c r="B12" s="313"/>
      <c r="C12" s="313"/>
      <c r="D12" s="313"/>
      <c r="E12" s="313"/>
      <c r="F12" s="313"/>
      <c r="G12" s="313"/>
      <c r="H12" s="313"/>
      <c r="I12" s="313"/>
      <c r="J12" s="313"/>
      <c r="K12" s="313"/>
      <c r="L12" s="313"/>
      <c r="M12" s="313"/>
      <c r="N12" s="313"/>
      <c r="O12" s="313"/>
      <c r="P12" s="313"/>
      <c r="Q12" s="313"/>
      <c r="R12" s="313"/>
      <c r="S12" s="313"/>
      <c r="T12" s="313"/>
      <c r="U12" s="313"/>
      <c r="V12" s="313"/>
      <c r="W12" s="313"/>
      <c r="X12" s="313"/>
    </row>
    <row r="13" spans="2:24" ht="15" customHeight="1">
      <c r="B13" s="313"/>
      <c r="C13" s="313"/>
      <c r="D13" s="313"/>
      <c r="E13" s="313"/>
      <c r="F13" s="313"/>
      <c r="G13" s="313"/>
      <c r="H13" s="313"/>
      <c r="I13" s="313"/>
      <c r="J13" s="313"/>
      <c r="K13" s="313"/>
      <c r="L13" s="313"/>
      <c r="M13" s="313"/>
      <c r="N13" s="313"/>
      <c r="O13" s="313"/>
      <c r="P13" s="313"/>
      <c r="Q13" s="313"/>
      <c r="R13" s="313"/>
      <c r="S13" s="313"/>
      <c r="T13" s="313"/>
      <c r="U13" s="313"/>
      <c r="V13" s="313"/>
      <c r="W13" s="313"/>
      <c r="X13" s="313"/>
    </row>
    <row r="14" spans="2:24" ht="17.45" customHeight="1">
      <c r="B14" s="313"/>
      <c r="C14" s="313"/>
      <c r="D14" s="313"/>
      <c r="E14" s="313"/>
      <c r="F14" s="313"/>
      <c r="G14" s="313"/>
      <c r="H14" s="313"/>
      <c r="I14" s="313"/>
      <c r="J14" s="313"/>
      <c r="K14" s="313"/>
      <c r="L14" s="313"/>
      <c r="M14" s="313"/>
      <c r="N14" s="313"/>
      <c r="O14" s="313"/>
      <c r="P14" s="313"/>
      <c r="Q14" s="313"/>
      <c r="R14" s="313"/>
      <c r="S14" s="313"/>
      <c r="T14" s="313"/>
      <c r="U14" s="313"/>
      <c r="V14" s="313"/>
      <c r="W14" s="313"/>
      <c r="X14" s="313"/>
    </row>
    <row r="15" spans="2:24" ht="17.45" customHeight="1">
      <c r="B15" s="313"/>
      <c r="C15" s="313"/>
      <c r="D15" s="313"/>
      <c r="E15" s="313"/>
      <c r="F15" s="313"/>
      <c r="G15" s="313"/>
      <c r="H15" s="313"/>
      <c r="I15" s="313"/>
      <c r="J15" s="313"/>
      <c r="K15" s="313"/>
      <c r="L15" s="313"/>
      <c r="M15" s="313"/>
      <c r="N15" s="313"/>
      <c r="O15" s="313"/>
      <c r="P15" s="313"/>
      <c r="Q15" s="313"/>
      <c r="R15" s="313"/>
      <c r="S15" s="313"/>
      <c r="T15" s="313"/>
      <c r="U15" s="313"/>
      <c r="V15" s="313"/>
      <c r="W15" s="313"/>
      <c r="X15" s="313"/>
    </row>
    <row r="16" spans="2:24" ht="44.1" customHeight="1">
      <c r="B16" s="313"/>
      <c r="C16" s="313"/>
      <c r="D16" s="313"/>
      <c r="E16" s="313"/>
      <c r="F16" s="313"/>
      <c r="G16" s="313"/>
      <c r="H16" s="313"/>
      <c r="I16" s="313"/>
      <c r="J16" s="313"/>
      <c r="K16" s="313"/>
      <c r="L16" s="313"/>
      <c r="M16" s="313"/>
      <c r="N16" s="313"/>
      <c r="O16" s="313"/>
      <c r="P16" s="313"/>
      <c r="Q16" s="313"/>
      <c r="R16" s="313"/>
      <c r="S16" s="313"/>
      <c r="T16" s="313"/>
      <c r="U16" s="313"/>
      <c r="V16" s="313"/>
      <c r="W16" s="313"/>
      <c r="X16" s="313"/>
    </row>
    <row r="17" spans="2:24" ht="17.45" customHeight="1">
      <c r="B17" s="67"/>
      <c r="C17" s="67"/>
      <c r="D17" s="67"/>
      <c r="E17" s="67"/>
      <c r="F17" s="67"/>
      <c r="G17" s="67"/>
      <c r="H17" s="67"/>
      <c r="I17" s="67"/>
      <c r="J17" s="67"/>
      <c r="K17" s="67"/>
      <c r="L17" s="67"/>
      <c r="M17" s="67"/>
      <c r="N17" s="67"/>
      <c r="O17" s="67"/>
      <c r="P17" s="67"/>
      <c r="Q17" s="67"/>
      <c r="R17" s="67"/>
      <c r="S17" s="67"/>
      <c r="T17" s="67"/>
      <c r="U17" s="67"/>
      <c r="V17" s="67"/>
      <c r="W17" s="67"/>
      <c r="X17" s="67"/>
    </row>
    <row r="18" spans="2:24" ht="17.45" customHeight="1">
      <c r="B18" s="94" t="s">
        <v>5</v>
      </c>
      <c r="C18" s="67"/>
      <c r="D18" s="67"/>
      <c r="E18" s="67"/>
      <c r="F18" s="67"/>
      <c r="G18" s="67"/>
      <c r="H18" s="67"/>
      <c r="I18" s="67"/>
      <c r="J18" s="67"/>
      <c r="K18" s="67"/>
      <c r="L18" s="67"/>
      <c r="M18" s="67"/>
      <c r="N18" s="67"/>
      <c r="O18" s="67"/>
      <c r="P18" s="67"/>
      <c r="Q18" s="67"/>
      <c r="R18" s="67"/>
      <c r="S18" s="67"/>
      <c r="T18" s="67"/>
      <c r="U18" s="67"/>
      <c r="V18" s="67"/>
      <c r="W18" s="67"/>
      <c r="X18" s="67"/>
    </row>
    <row r="19" spans="2:24" ht="17.45" customHeight="1" thickBot="1">
      <c r="B19" s="94"/>
      <c r="C19" s="67"/>
      <c r="D19" s="67"/>
      <c r="E19" s="67"/>
      <c r="F19" s="67"/>
      <c r="G19" s="67"/>
      <c r="H19" s="67"/>
      <c r="I19" s="67"/>
      <c r="J19" s="67"/>
      <c r="K19" s="67"/>
      <c r="L19" s="67"/>
      <c r="M19" s="67"/>
      <c r="N19" s="67"/>
      <c r="O19" s="67"/>
      <c r="P19" s="67"/>
      <c r="Q19" s="67"/>
      <c r="R19" s="67"/>
      <c r="S19" s="67"/>
      <c r="T19" s="67"/>
      <c r="U19" s="67"/>
      <c r="V19" s="67"/>
      <c r="W19" s="67"/>
      <c r="X19" s="67"/>
    </row>
    <row r="20" spans="2:24" ht="16.350000000000001" customHeight="1" thickBot="1">
      <c r="B20" s="67"/>
      <c r="C20" s="326" t="s">
        <v>6</v>
      </c>
      <c r="D20" s="327"/>
      <c r="E20" s="327"/>
      <c r="F20" s="327"/>
      <c r="G20" s="327"/>
      <c r="H20" s="326" t="s">
        <v>7</v>
      </c>
      <c r="I20" s="327"/>
      <c r="J20" s="327"/>
      <c r="K20" s="327"/>
      <c r="L20" s="328"/>
      <c r="M20" s="326" t="s">
        <v>8</v>
      </c>
      <c r="N20" s="327"/>
      <c r="O20" s="327"/>
      <c r="P20" s="327"/>
      <c r="Q20" s="327"/>
      <c r="R20" s="328"/>
      <c r="S20" s="326" t="s">
        <v>9</v>
      </c>
      <c r="T20" s="327"/>
      <c r="U20" s="327"/>
      <c r="V20" s="327"/>
      <c r="W20" s="327"/>
      <c r="X20" s="328"/>
    </row>
    <row r="21" spans="2:24" s="95" customFormat="1" ht="62.45">
      <c r="B21" s="156" t="s">
        <v>10</v>
      </c>
      <c r="C21" s="11" t="s">
        <v>11</v>
      </c>
      <c r="D21" s="10" t="s">
        <v>12</v>
      </c>
      <c r="E21" s="10" t="s">
        <v>13</v>
      </c>
      <c r="F21" s="10" t="s">
        <v>14</v>
      </c>
      <c r="G21" s="155" t="s">
        <v>15</v>
      </c>
      <c r="H21" s="23" t="s">
        <v>11</v>
      </c>
      <c r="I21" s="4" t="s">
        <v>12</v>
      </c>
      <c r="J21" s="4" t="s">
        <v>13</v>
      </c>
      <c r="K21" s="4" t="s">
        <v>14</v>
      </c>
      <c r="L21" s="233" t="s">
        <v>15</v>
      </c>
      <c r="M21" s="234" t="s">
        <v>16</v>
      </c>
      <c r="N21" s="235" t="s">
        <v>17</v>
      </c>
      <c r="O21" s="235" t="s">
        <v>18</v>
      </c>
      <c r="P21" s="235" t="s">
        <v>19</v>
      </c>
      <c r="Q21" s="235" t="s">
        <v>20</v>
      </c>
      <c r="R21" s="220" t="s">
        <v>21</v>
      </c>
      <c r="S21" s="234" t="s">
        <v>16</v>
      </c>
      <c r="T21" s="235" t="s">
        <v>17</v>
      </c>
      <c r="U21" s="235" t="s">
        <v>18</v>
      </c>
      <c r="V21" s="235" t="s">
        <v>19</v>
      </c>
      <c r="W21" s="235" t="s">
        <v>20</v>
      </c>
      <c r="X21" s="220" t="s">
        <v>21</v>
      </c>
    </row>
    <row r="22" spans="2:24" s="96" customFormat="1" ht="15.6" customHeight="1">
      <c r="B22" s="157" t="s">
        <v>22</v>
      </c>
      <c r="C22" s="119"/>
      <c r="D22" s="120"/>
      <c r="E22" s="120"/>
      <c r="F22" s="120"/>
      <c r="G22" s="120"/>
      <c r="H22" s="119"/>
      <c r="I22" s="120"/>
      <c r="J22" s="120"/>
      <c r="K22" s="120"/>
      <c r="L22" s="120"/>
      <c r="M22" s="119"/>
      <c r="N22" s="120"/>
      <c r="O22" s="120"/>
      <c r="P22" s="120"/>
      <c r="Q22" s="120"/>
      <c r="R22" s="121"/>
      <c r="S22" s="119"/>
      <c r="T22" s="120"/>
      <c r="U22" s="120"/>
      <c r="V22" s="120"/>
      <c r="W22" s="120"/>
      <c r="X22" s="121"/>
    </row>
    <row r="23" spans="2:24" s="100" customFormat="1">
      <c r="B23" s="158" t="s">
        <v>23</v>
      </c>
      <c r="C23" s="268">
        <v>37058</v>
      </c>
      <c r="D23" s="183">
        <v>50485.536370897309</v>
      </c>
      <c r="E23" s="183">
        <f>41327.2577593745+9158.27861152281</f>
        <v>50485.536370897309</v>
      </c>
      <c r="F23" s="183">
        <v>42785</v>
      </c>
      <c r="G23" s="269">
        <f>IF(F23=0,"NA",C23/F23)</f>
        <v>0.86614467687273577</v>
      </c>
      <c r="H23" s="270">
        <v>865698.74402730376</v>
      </c>
      <c r="I23" s="183">
        <v>172423</v>
      </c>
      <c r="J23" s="183">
        <v>176753</v>
      </c>
      <c r="K23" s="183">
        <v>845484</v>
      </c>
      <c r="L23" s="125">
        <f>IF(K23=0,"NA",H23/K23)</f>
        <v>1.0239090793288859</v>
      </c>
      <c r="M23" s="98">
        <f>SUM(N23:O23)</f>
        <v>8699623.0611902587</v>
      </c>
      <c r="N23" s="99">
        <v>5374358.8899999997</v>
      </c>
      <c r="O23" s="99">
        <v>3325264.1711902581</v>
      </c>
      <c r="P23" s="99">
        <v>11893648.800000001</v>
      </c>
      <c r="Q23" s="99">
        <v>11695972.1</v>
      </c>
      <c r="R23" s="97">
        <f>IF(Q33=0,"NA",(M23/Q23))</f>
        <v>0.74381359555314419</v>
      </c>
      <c r="S23" s="98">
        <f>SUM(T23:U23)</f>
        <v>1911651.4864189005</v>
      </c>
      <c r="T23" s="99">
        <v>1052371.93</v>
      </c>
      <c r="U23" s="99">
        <v>859279.55641890049</v>
      </c>
      <c r="V23" s="99">
        <v>1297816.3500000001</v>
      </c>
      <c r="W23" s="99">
        <v>2702467.8</v>
      </c>
      <c r="X23" s="97">
        <f>IF(W23=0,"NA",(S23/W23))</f>
        <v>0.7073725305511136</v>
      </c>
    </row>
    <row r="24" spans="2:24" s="100" customFormat="1">
      <c r="B24" s="158" t="s">
        <v>24</v>
      </c>
      <c r="C24" s="268">
        <v>18551</v>
      </c>
      <c r="D24" s="183">
        <v>37186.6891600745</v>
      </c>
      <c r="E24" s="183">
        <f>37186.6891600745</f>
        <v>37186.6891600745</v>
      </c>
      <c r="F24" s="183">
        <v>47938</v>
      </c>
      <c r="G24" s="269">
        <f t="shared" ref="G24:G86" si="0">IF(F24=0,"NA",C24/F24)</f>
        <v>0.38697901456047396</v>
      </c>
      <c r="H24" s="270">
        <v>0</v>
      </c>
      <c r="I24" s="183">
        <v>0</v>
      </c>
      <c r="J24" s="183">
        <v>0</v>
      </c>
      <c r="K24" s="183">
        <v>0</v>
      </c>
      <c r="L24" s="125" t="str">
        <f t="shared" ref="L24:L86" si="1">IF(K24=0,"NA",H24/K24)</f>
        <v>NA</v>
      </c>
      <c r="M24" s="98">
        <f>SUM(N24:O24)</f>
        <v>8341447.650992576</v>
      </c>
      <c r="N24" s="99">
        <v>3787039.2500000005</v>
      </c>
      <c r="O24" s="99">
        <v>4554408.4009925751</v>
      </c>
      <c r="P24" s="99">
        <v>13875289.039999999</v>
      </c>
      <c r="Q24" s="99">
        <v>16234232.870000001</v>
      </c>
      <c r="R24" s="97" t="str">
        <f t="shared" ref="R24:R33" si="2">IF(Q34=0,"NA",(M24/Q24))</f>
        <v>NA</v>
      </c>
      <c r="S24" s="98">
        <f t="shared" ref="S24:S85" si="3">SUM(T24:U24)</f>
        <v>0</v>
      </c>
      <c r="T24" s="99">
        <v>0</v>
      </c>
      <c r="U24" s="99">
        <v>0</v>
      </c>
      <c r="V24" s="99">
        <v>0</v>
      </c>
      <c r="W24" s="99">
        <v>0</v>
      </c>
      <c r="X24" s="97" t="str">
        <f t="shared" ref="X24:X33" si="4">IF(W24=0,"NA",(S24/W24))</f>
        <v>NA</v>
      </c>
    </row>
    <row r="25" spans="2:24" s="100" customFormat="1">
      <c r="B25" s="158" t="s">
        <v>25</v>
      </c>
      <c r="C25" s="268">
        <v>218</v>
      </c>
      <c r="D25" s="183">
        <v>1148.9153674183819</v>
      </c>
      <c r="E25" s="183">
        <f>921.115367418382+227.8</f>
        <v>1148.9153674183819</v>
      </c>
      <c r="F25" s="183">
        <v>587</v>
      </c>
      <c r="G25" s="269">
        <f t="shared" si="0"/>
        <v>0.37137989778534924</v>
      </c>
      <c r="H25" s="270">
        <v>19678.518771331059</v>
      </c>
      <c r="I25" s="183">
        <v>88967</v>
      </c>
      <c r="J25" s="183">
        <f>87378+640</f>
        <v>88018</v>
      </c>
      <c r="K25" s="183">
        <v>90361</v>
      </c>
      <c r="L25" s="125">
        <f t="shared" si="1"/>
        <v>0.21777668210102874</v>
      </c>
      <c r="M25" s="98">
        <f t="shared" ref="M25:M33" si="5">SUM(N25:O25)</f>
        <v>886957.26399618271</v>
      </c>
      <c r="N25" s="99">
        <v>545188.44500000007</v>
      </c>
      <c r="O25" s="99">
        <v>341768.8189961827</v>
      </c>
      <c r="P25" s="99">
        <v>333595.86</v>
      </c>
      <c r="Q25" s="99">
        <v>1333916.0299999998</v>
      </c>
      <c r="R25" s="97">
        <f t="shared" si="2"/>
        <v>0.66492735978004769</v>
      </c>
      <c r="S25" s="98">
        <f t="shared" si="3"/>
        <v>521151.49221249338</v>
      </c>
      <c r="T25" s="99">
        <v>313668.98</v>
      </c>
      <c r="U25" s="99">
        <v>207482.5122124934</v>
      </c>
      <c r="V25" s="99">
        <v>307930.65000000002</v>
      </c>
      <c r="W25" s="99">
        <v>727523.41999999993</v>
      </c>
      <c r="X25" s="97">
        <f t="shared" si="4"/>
        <v>0.71633637885154744</v>
      </c>
    </row>
    <row r="26" spans="2:24" s="100" customFormat="1">
      <c r="B26" s="158" t="s">
        <v>26</v>
      </c>
      <c r="C26" s="268">
        <v>14374</v>
      </c>
      <c r="D26" s="183">
        <v>19631.8728661569</v>
      </c>
      <c r="E26" s="183">
        <v>19631.8728661569</v>
      </c>
      <c r="F26" s="183">
        <v>24456</v>
      </c>
      <c r="G26" s="269">
        <f t="shared" si="0"/>
        <v>0.58774942754334314</v>
      </c>
      <c r="H26" s="270">
        <v>0</v>
      </c>
      <c r="I26" s="183">
        <v>0</v>
      </c>
      <c r="J26" s="183">
        <v>0</v>
      </c>
      <c r="K26" s="183">
        <v>0</v>
      </c>
      <c r="L26" s="125" t="str">
        <f t="shared" si="1"/>
        <v>NA</v>
      </c>
      <c r="M26" s="98">
        <f t="shared" si="5"/>
        <v>2916542.1596539421</v>
      </c>
      <c r="N26" s="99">
        <v>1895346.4</v>
      </c>
      <c r="O26" s="99">
        <v>1021195.7596539424</v>
      </c>
      <c r="P26" s="99">
        <v>3062572.17</v>
      </c>
      <c r="Q26" s="99">
        <v>3981287.3899999997</v>
      </c>
      <c r="R26" s="97">
        <f t="shared" si="2"/>
        <v>0.73256257937559799</v>
      </c>
      <c r="S26" s="98">
        <f t="shared" si="3"/>
        <v>0</v>
      </c>
      <c r="T26" s="99">
        <v>0</v>
      </c>
      <c r="U26" s="99">
        <v>0</v>
      </c>
      <c r="V26" s="99">
        <v>0</v>
      </c>
      <c r="W26" s="99">
        <v>0</v>
      </c>
      <c r="X26" s="97" t="str">
        <f t="shared" si="4"/>
        <v>NA</v>
      </c>
    </row>
    <row r="27" spans="2:24" s="100" customFormat="1">
      <c r="B27" s="158" t="s">
        <v>27</v>
      </c>
      <c r="C27" s="268">
        <v>173</v>
      </c>
      <c r="D27" s="183">
        <v>1179.24094850397</v>
      </c>
      <c r="E27" s="183">
        <v>1179.24094850397</v>
      </c>
      <c r="F27" s="183">
        <v>395.00000000000006</v>
      </c>
      <c r="G27" s="269">
        <f t="shared" si="0"/>
        <v>0.43797468354430374</v>
      </c>
      <c r="H27" s="270">
        <v>5006</v>
      </c>
      <c r="I27" s="183">
        <v>20947</v>
      </c>
      <c r="J27" s="183">
        <v>24421</v>
      </c>
      <c r="K27" s="183">
        <v>15298</v>
      </c>
      <c r="L27" s="125">
        <f t="shared" si="1"/>
        <v>0.3272323179500588</v>
      </c>
      <c r="M27" s="98">
        <f t="shared" si="5"/>
        <v>481250.76689728803</v>
      </c>
      <c r="N27" s="99">
        <v>126116.26999999999</v>
      </c>
      <c r="O27" s="99">
        <v>355134.49689728807</v>
      </c>
      <c r="P27" s="99">
        <v>2564918.4</v>
      </c>
      <c r="Q27" s="99">
        <v>787793.07</v>
      </c>
      <c r="R27" s="97">
        <f t="shared" si="2"/>
        <v>0.61088474273743998</v>
      </c>
      <c r="S27" s="98">
        <f t="shared" si="3"/>
        <v>69400.943556589598</v>
      </c>
      <c r="T27" s="99">
        <v>2700</v>
      </c>
      <c r="U27" s="99">
        <v>66700.943556589598</v>
      </c>
      <c r="V27" s="99">
        <v>187371.08</v>
      </c>
      <c r="W27" s="99">
        <v>92582.19</v>
      </c>
      <c r="X27" s="97">
        <f t="shared" si="4"/>
        <v>0.7496144080906878</v>
      </c>
    </row>
    <row r="28" spans="2:24" s="100" customFormat="1">
      <c r="B28" s="158" t="s">
        <v>28</v>
      </c>
      <c r="C28" s="268">
        <v>280</v>
      </c>
      <c r="D28" s="183">
        <v>654.62358874412098</v>
      </c>
      <c r="E28" s="183">
        <v>654.62358874412098</v>
      </c>
      <c r="F28" s="183">
        <v>911</v>
      </c>
      <c r="G28" s="269">
        <f t="shared" si="0"/>
        <v>0.30735455543358947</v>
      </c>
      <c r="H28" s="270">
        <v>79600</v>
      </c>
      <c r="I28" s="183">
        <v>112962</v>
      </c>
      <c r="J28" s="183">
        <v>118182</v>
      </c>
      <c r="K28" s="183">
        <v>32691</v>
      </c>
      <c r="L28" s="125">
        <f t="shared" si="1"/>
        <v>2.4349209262488145</v>
      </c>
      <c r="M28" s="98">
        <f t="shared" si="5"/>
        <v>135421.28928172268</v>
      </c>
      <c r="N28" s="99">
        <v>36300</v>
      </c>
      <c r="O28" s="99">
        <v>99121.289281722697</v>
      </c>
      <c r="P28" s="99">
        <v>114208.25</v>
      </c>
      <c r="Q28" s="99">
        <v>345808.97</v>
      </c>
      <c r="R28" s="97" t="str">
        <f t="shared" si="2"/>
        <v>NA</v>
      </c>
      <c r="S28" s="98">
        <f t="shared" si="3"/>
        <v>98525.912549348723</v>
      </c>
      <c r="T28" s="99">
        <v>76335</v>
      </c>
      <c r="U28" s="99">
        <v>22190.91254934873</v>
      </c>
      <c r="V28" s="99">
        <v>188610.57</v>
      </c>
      <c r="W28" s="99">
        <v>83136.72</v>
      </c>
      <c r="X28" s="97">
        <f t="shared" si="4"/>
        <v>1.1851070447492844</v>
      </c>
    </row>
    <row r="29" spans="2:24" s="100" customFormat="1">
      <c r="B29" s="158" t="s">
        <v>29</v>
      </c>
      <c r="C29" s="293">
        <v>22370</v>
      </c>
      <c r="D29" s="183">
        <v>48263.721207199997</v>
      </c>
      <c r="E29" s="183">
        <f>38607.9839478+9655.7372594</f>
        <v>48263.721207199997</v>
      </c>
      <c r="F29" s="183">
        <v>32003</v>
      </c>
      <c r="G29" s="269">
        <f t="shared" si="0"/>
        <v>0.69899696903415309</v>
      </c>
      <c r="H29" s="294">
        <v>1657793.4436860068</v>
      </c>
      <c r="I29" s="183">
        <f>930000+42315</f>
        <v>972315</v>
      </c>
      <c r="J29" s="183">
        <v>828825</v>
      </c>
      <c r="K29" s="183">
        <v>1542754</v>
      </c>
      <c r="L29" s="125">
        <f t="shared" si="1"/>
        <v>1.0745675873703824</v>
      </c>
      <c r="M29" s="98">
        <f t="shared" si="5"/>
        <v>7191529.7672915617</v>
      </c>
      <c r="N29" s="99">
        <v>4608229.9300000006</v>
      </c>
      <c r="O29" s="99">
        <v>2583299.8372915611</v>
      </c>
      <c r="P29" s="99">
        <v>15733127.65</v>
      </c>
      <c r="Q29" s="99">
        <v>10015405.58</v>
      </c>
      <c r="R29" s="97">
        <f t="shared" si="2"/>
        <v>0.71804678401167266</v>
      </c>
      <c r="S29" s="98">
        <f t="shared" si="3"/>
        <v>1208847.6324771824</v>
      </c>
      <c r="T29" s="99">
        <v>717756.42000000016</v>
      </c>
      <c r="U29" s="99">
        <v>491091.21247718239</v>
      </c>
      <c r="V29" s="99">
        <v>2311497.44</v>
      </c>
      <c r="W29" s="99">
        <v>2083606.42</v>
      </c>
      <c r="X29" s="97">
        <f t="shared" si="4"/>
        <v>0.58017081387049219</v>
      </c>
    </row>
    <row r="30" spans="2:24" s="100" customFormat="1">
      <c r="B30" s="158" t="s">
        <v>30</v>
      </c>
      <c r="C30" s="268">
        <v>4887</v>
      </c>
      <c r="D30" s="183">
        <v>4743</v>
      </c>
      <c r="E30" s="183">
        <f>4268.7+474.3</f>
        <v>4743</v>
      </c>
      <c r="F30" s="183">
        <v>6039.0000000000009</v>
      </c>
      <c r="G30" s="269">
        <f t="shared" si="0"/>
        <v>0.80923994038748126</v>
      </c>
      <c r="H30" s="270">
        <v>0</v>
      </c>
      <c r="I30" s="183">
        <v>52000</v>
      </c>
      <c r="J30" s="183">
        <v>59610</v>
      </c>
      <c r="K30" s="183">
        <v>54587</v>
      </c>
      <c r="L30" s="125">
        <f t="shared" si="1"/>
        <v>0</v>
      </c>
      <c r="M30" s="98">
        <f t="shared" si="5"/>
        <v>1367521.7460505557</v>
      </c>
      <c r="N30" s="99">
        <v>29220.400000000001</v>
      </c>
      <c r="O30" s="99">
        <v>1338301.3460505558</v>
      </c>
      <c r="P30" s="99">
        <v>1453882.23</v>
      </c>
      <c r="Q30" s="99">
        <v>1442327.58</v>
      </c>
      <c r="R30" s="97">
        <f t="shared" si="2"/>
        <v>0.94813533694651786</v>
      </c>
      <c r="S30" s="98">
        <f t="shared" si="3"/>
        <v>37211.966951590177</v>
      </c>
      <c r="T30" s="99">
        <v>0</v>
      </c>
      <c r="U30" s="99">
        <v>37211.966951590177</v>
      </c>
      <c r="V30" s="99">
        <v>553694.53</v>
      </c>
      <c r="W30" s="99">
        <v>166209.13</v>
      </c>
      <c r="X30" s="97">
        <f t="shared" si="4"/>
        <v>0.22388641918521671</v>
      </c>
    </row>
    <row r="31" spans="2:24" s="100" customFormat="1">
      <c r="B31" s="158" t="s">
        <v>31</v>
      </c>
      <c r="C31" s="268">
        <v>0</v>
      </c>
      <c r="D31" s="183">
        <v>347.66622071999996</v>
      </c>
      <c r="E31" s="183">
        <v>347.66622071999996</v>
      </c>
      <c r="F31" s="183">
        <v>351</v>
      </c>
      <c r="G31" s="269">
        <f t="shared" si="0"/>
        <v>0</v>
      </c>
      <c r="H31" s="270">
        <v>0</v>
      </c>
      <c r="I31" s="183">
        <v>0</v>
      </c>
      <c r="J31" s="183">
        <v>0</v>
      </c>
      <c r="K31" s="183">
        <v>0</v>
      </c>
      <c r="L31" s="125" t="str">
        <f t="shared" si="1"/>
        <v>NA</v>
      </c>
      <c r="M31" s="98">
        <f t="shared" si="5"/>
        <v>61009.739821013041</v>
      </c>
      <c r="N31" s="99">
        <v>0</v>
      </c>
      <c r="O31" s="99">
        <v>61009.739821013041</v>
      </c>
      <c r="P31" s="99">
        <v>219863.87</v>
      </c>
      <c r="Q31" s="99">
        <v>221299.51</v>
      </c>
      <c r="R31" s="97">
        <f t="shared" si="2"/>
        <v>0.27568854454767222</v>
      </c>
      <c r="S31" s="98">
        <f t="shared" si="3"/>
        <v>0</v>
      </c>
      <c r="T31" s="99">
        <v>0</v>
      </c>
      <c r="U31" s="99">
        <v>0</v>
      </c>
      <c r="V31" s="99">
        <v>0</v>
      </c>
      <c r="W31" s="99">
        <v>0</v>
      </c>
      <c r="X31" s="97" t="str">
        <f t="shared" si="4"/>
        <v>NA</v>
      </c>
    </row>
    <row r="32" spans="2:24" s="100" customFormat="1">
      <c r="B32" s="158" t="s">
        <v>32</v>
      </c>
      <c r="C32" s="268">
        <v>8466</v>
      </c>
      <c r="D32" s="183">
        <v>6531.84</v>
      </c>
      <c r="E32" s="183">
        <v>6531.84</v>
      </c>
      <c r="F32" s="183">
        <v>13779</v>
      </c>
      <c r="G32" s="269">
        <f t="shared" si="0"/>
        <v>0.61441323753537991</v>
      </c>
      <c r="H32" s="270">
        <v>0</v>
      </c>
      <c r="I32" s="183">
        <v>0</v>
      </c>
      <c r="J32" s="183">
        <v>0</v>
      </c>
      <c r="K32" s="183">
        <v>0</v>
      </c>
      <c r="L32" s="125" t="str">
        <f t="shared" si="1"/>
        <v>NA</v>
      </c>
      <c r="M32" s="98">
        <f t="shared" si="5"/>
        <v>392402.77664486069</v>
      </c>
      <c r="N32" s="99">
        <v>368597</v>
      </c>
      <c r="O32" s="99">
        <v>23805.776644860678</v>
      </c>
      <c r="P32" s="99">
        <v>1255163.83</v>
      </c>
      <c r="Q32" s="99">
        <v>1116313.81</v>
      </c>
      <c r="R32" s="97">
        <f t="shared" si="2"/>
        <v>0.35151654770342816</v>
      </c>
      <c r="S32" s="98">
        <f t="shared" si="3"/>
        <v>0</v>
      </c>
      <c r="T32" s="99">
        <v>0</v>
      </c>
      <c r="U32" s="99">
        <v>0</v>
      </c>
      <c r="V32" s="99">
        <v>0</v>
      </c>
      <c r="W32" s="99">
        <v>0</v>
      </c>
      <c r="X32" s="97" t="str">
        <f t="shared" si="4"/>
        <v>NA</v>
      </c>
    </row>
    <row r="33" spans="2:24" s="100" customFormat="1">
      <c r="B33" s="158" t="s">
        <v>33</v>
      </c>
      <c r="C33" s="268">
        <v>0</v>
      </c>
      <c r="D33" s="183">
        <v>268.99700000000001</v>
      </c>
      <c r="E33" s="183">
        <v>268.99700000000001</v>
      </c>
      <c r="F33" s="183">
        <v>0</v>
      </c>
      <c r="G33" s="269" t="str">
        <f t="shared" si="0"/>
        <v>NA</v>
      </c>
      <c r="H33" s="270">
        <v>0</v>
      </c>
      <c r="I33" s="183">
        <v>0</v>
      </c>
      <c r="J33" s="183">
        <v>0</v>
      </c>
      <c r="K33" s="183">
        <v>0</v>
      </c>
      <c r="L33" s="125" t="str">
        <f t="shared" si="1"/>
        <v>NA</v>
      </c>
      <c r="M33" s="98">
        <f t="shared" si="5"/>
        <v>296509.91338683548</v>
      </c>
      <c r="N33" s="99">
        <v>0</v>
      </c>
      <c r="O33" s="99">
        <v>296509.91338683548</v>
      </c>
      <c r="P33" s="99">
        <v>162833.5</v>
      </c>
      <c r="Q33" s="99">
        <v>518207</v>
      </c>
      <c r="R33" s="97">
        <f t="shared" si="2"/>
        <v>0.57218430740386661</v>
      </c>
      <c r="S33" s="98">
        <f t="shared" si="3"/>
        <v>42032.744162053757</v>
      </c>
      <c r="T33" s="99">
        <v>0</v>
      </c>
      <c r="U33" s="99">
        <v>42032.744162053757</v>
      </c>
      <c r="V33" s="99">
        <v>10500</v>
      </c>
      <c r="W33" s="99">
        <v>70665</v>
      </c>
      <c r="X33" s="97">
        <f t="shared" si="4"/>
        <v>0.59481701212840521</v>
      </c>
    </row>
    <row r="34" spans="2:24" s="100" customFormat="1">
      <c r="B34" s="158"/>
      <c r="C34" s="271"/>
      <c r="D34" s="183"/>
      <c r="E34" s="183"/>
      <c r="F34" s="183"/>
      <c r="G34" s="269"/>
      <c r="H34" s="272"/>
      <c r="I34" s="180"/>
      <c r="J34" s="180"/>
      <c r="K34" s="180"/>
      <c r="L34" s="125"/>
      <c r="M34" s="101"/>
      <c r="N34" s="102"/>
      <c r="O34" s="102"/>
      <c r="P34" s="102"/>
      <c r="Q34" s="102"/>
      <c r="R34" s="97"/>
      <c r="S34" s="101"/>
      <c r="T34" s="102"/>
      <c r="U34" s="102"/>
      <c r="V34" s="102"/>
      <c r="W34" s="102"/>
      <c r="X34" s="97"/>
    </row>
    <row r="35" spans="2:24" s="96" customFormat="1">
      <c r="B35" s="159" t="s">
        <v>34</v>
      </c>
      <c r="C35" s="273">
        <f>SUM(C23:C34)</f>
        <v>106377</v>
      </c>
      <c r="D35" s="274">
        <f>SUM(D23:D34)</f>
        <v>170442.10272971517</v>
      </c>
      <c r="E35" s="274">
        <f>SUM(E23:E34)</f>
        <v>170442.10272971517</v>
      </c>
      <c r="F35" s="274">
        <f>SUM(F23:F34)</f>
        <v>169244</v>
      </c>
      <c r="G35" s="275">
        <f t="shared" si="0"/>
        <v>0.62854222306256058</v>
      </c>
      <c r="H35" s="273">
        <f>SUM(H23:H34)</f>
        <v>2627776.7064846419</v>
      </c>
      <c r="I35" s="274">
        <f>SUM(I23:I34)</f>
        <v>1419614</v>
      </c>
      <c r="J35" s="274">
        <f>SUM(J23:J34)</f>
        <v>1295809</v>
      </c>
      <c r="K35" s="274">
        <f>SUM(K23:K34)</f>
        <v>2581175</v>
      </c>
      <c r="L35" s="126">
        <f t="shared" ref="L35" si="6">IF(K35=0,"NA",H35/K35)</f>
        <v>1.018054454457618</v>
      </c>
      <c r="M35" s="19">
        <f t="shared" ref="M35:M85" si="7">SUM(N35:O35)</f>
        <v>30770216.135206796</v>
      </c>
      <c r="N35" s="21">
        <f>SUM(N23:N34)</f>
        <v>16770396.585000003</v>
      </c>
      <c r="O35" s="21">
        <f>SUM(O23:O34)</f>
        <v>13999819.550206795</v>
      </c>
      <c r="P35" s="21">
        <f>SUM(P23:P34)</f>
        <v>50669103.599999987</v>
      </c>
      <c r="Q35" s="21">
        <f>SUM(Q23:Q34)</f>
        <v>47692563.909999996</v>
      </c>
      <c r="R35" s="13">
        <f t="shared" ref="R35:R86" si="8">IF(Q35=0,"NA",(M35/Q35))</f>
        <v>0.64517848512553999</v>
      </c>
      <c r="S35" s="19">
        <f t="shared" si="3"/>
        <v>3888822.1783281583</v>
      </c>
      <c r="T35" s="21">
        <f>SUM(T23:T34)</f>
        <v>2162832.33</v>
      </c>
      <c r="U35" s="21">
        <f>SUM(U23:U34)</f>
        <v>1725989.8483281585</v>
      </c>
      <c r="V35" s="21">
        <f>SUM(V23:V34)</f>
        <v>4857420.62</v>
      </c>
      <c r="W35" s="21">
        <f>SUM(W23:W34)</f>
        <v>5926190.6799999997</v>
      </c>
      <c r="X35" s="13">
        <f t="shared" ref="X35:X86" si="9">IF(W35=0,"NA",(S35/W35))</f>
        <v>0.6562094249603454</v>
      </c>
    </row>
    <row r="36" spans="2:24">
      <c r="B36" s="160" t="s">
        <v>35</v>
      </c>
      <c r="C36" s="303">
        <f>C35-C37</f>
        <v>87456</v>
      </c>
      <c r="D36" s="276">
        <f>D35-D37</f>
        <v>144274.10272971517</v>
      </c>
      <c r="E36" s="276">
        <f>E35-E37</f>
        <v>144274.10272971517</v>
      </c>
      <c r="F36" s="276">
        <f>F35-F37</f>
        <v>143999</v>
      </c>
      <c r="G36" s="277">
        <f t="shared" si="0"/>
        <v>0.60733755095521502</v>
      </c>
      <c r="H36" s="302">
        <f>H35-H37</f>
        <v>2348863.7064846419</v>
      </c>
      <c r="I36" s="276">
        <f>I35-I37</f>
        <v>1071509</v>
      </c>
      <c r="J36" s="276">
        <f>J35-J37</f>
        <v>987222</v>
      </c>
      <c r="K36" s="278">
        <f>K35-K37</f>
        <v>2348612</v>
      </c>
      <c r="L36" s="127">
        <f t="shared" si="1"/>
        <v>1.0001071724425499</v>
      </c>
      <c r="M36" s="296">
        <f>SUM(N36:O36)</f>
        <v>24973162.845206797</v>
      </c>
      <c r="N36" s="300">
        <f>N35-N37</f>
        <v>13525543.095000003</v>
      </c>
      <c r="O36" s="300">
        <f>O35-O37</f>
        <v>11447619.750206795</v>
      </c>
      <c r="P36" s="255">
        <f>P35-P37</f>
        <v>42835502.389999986</v>
      </c>
      <c r="Q36" s="254">
        <f>Q35-Q37</f>
        <v>38962521.909999996</v>
      </c>
      <c r="R36" s="12">
        <f t="shared" si="8"/>
        <v>0.64095345016148109</v>
      </c>
      <c r="S36" s="297">
        <f>SUM(T36:U36)</f>
        <v>2438587.8883281588</v>
      </c>
      <c r="T36" s="300">
        <f>T35-T37</f>
        <v>1283668.7200000002</v>
      </c>
      <c r="U36" s="300">
        <f>U35-U37</f>
        <v>1154919.1683281586</v>
      </c>
      <c r="V36" s="254">
        <f>V35-V37</f>
        <v>3359585.56</v>
      </c>
      <c r="W36" s="254">
        <f>W35-W37</f>
        <v>4263703.68</v>
      </c>
      <c r="X36" s="12">
        <f t="shared" si="9"/>
        <v>0.57194122090777166</v>
      </c>
    </row>
    <row r="37" spans="2:24">
      <c r="B37" s="160" t="s">
        <v>36</v>
      </c>
      <c r="C37" s="303">
        <v>18921</v>
      </c>
      <c r="D37" s="276">
        <v>26168</v>
      </c>
      <c r="E37" s="276">
        <v>26168</v>
      </c>
      <c r="F37" s="276">
        <v>25245</v>
      </c>
      <c r="G37" s="277">
        <f t="shared" si="0"/>
        <v>0.74949494949494955</v>
      </c>
      <c r="H37" s="302">
        <v>278913</v>
      </c>
      <c r="I37" s="276">
        <v>348105</v>
      </c>
      <c r="J37" s="276">
        <v>308587</v>
      </c>
      <c r="K37" s="278">
        <v>232563</v>
      </c>
      <c r="L37" s="127">
        <f t="shared" si="1"/>
        <v>1.1993008346125567</v>
      </c>
      <c r="M37" s="296">
        <f>SUM(N37:O37)</f>
        <v>5797053.29</v>
      </c>
      <c r="N37" s="300">
        <v>3244853.49</v>
      </c>
      <c r="O37" s="300">
        <v>2552199.7999999998</v>
      </c>
      <c r="P37" s="295">
        <v>7833601.21</v>
      </c>
      <c r="Q37" s="295">
        <v>8730042</v>
      </c>
      <c r="R37" s="291">
        <f t="shared" si="8"/>
        <v>0.66403498287866203</v>
      </c>
      <c r="S37" s="297">
        <f>SUM(T37:U37)</f>
        <v>1450234.29</v>
      </c>
      <c r="T37" s="301">
        <v>879163.61</v>
      </c>
      <c r="U37" s="301">
        <v>571070.68000000005</v>
      </c>
      <c r="V37" s="295">
        <v>1497835.06</v>
      </c>
      <c r="W37" s="295">
        <v>1662487</v>
      </c>
      <c r="X37" s="12">
        <f t="shared" si="9"/>
        <v>0.87232819865659106</v>
      </c>
    </row>
    <row r="38" spans="2:24" s="96" customFormat="1" ht="15.6" customHeight="1">
      <c r="B38" s="161" t="s">
        <v>37</v>
      </c>
      <c r="C38" s="279"/>
      <c r="D38" s="280"/>
      <c r="E38" s="280"/>
      <c r="F38" s="280"/>
      <c r="G38" s="281"/>
      <c r="H38" s="282"/>
      <c r="I38" s="283"/>
      <c r="J38" s="280"/>
      <c r="K38" s="280"/>
      <c r="L38" s="128"/>
      <c r="M38" s="117"/>
      <c r="N38" s="118"/>
      <c r="O38" s="118"/>
      <c r="P38" s="118"/>
      <c r="Q38" s="118"/>
      <c r="R38" s="116"/>
      <c r="S38" s="117"/>
      <c r="T38" s="118"/>
      <c r="U38" s="118"/>
      <c r="V38" s="118"/>
      <c r="W38" s="118"/>
      <c r="X38" s="116"/>
    </row>
    <row r="39" spans="2:24" s="100" customFormat="1">
      <c r="B39" s="158" t="s">
        <v>38</v>
      </c>
      <c r="C39" s="271">
        <v>70</v>
      </c>
      <c r="D39" s="183">
        <v>274.79886165948801</v>
      </c>
      <c r="E39" s="183">
        <v>274.79886165948801</v>
      </c>
      <c r="F39" s="180">
        <v>126</v>
      </c>
      <c r="G39" s="284">
        <f t="shared" si="0"/>
        <v>0.55555555555555558</v>
      </c>
      <c r="H39" s="272">
        <v>13781</v>
      </c>
      <c r="I39" s="183">
        <v>77121</v>
      </c>
      <c r="J39" s="183">
        <v>64417</v>
      </c>
      <c r="K39" s="180">
        <v>25737</v>
      </c>
      <c r="L39" s="125">
        <f>IF(K39=0,"NA",H39/K39)</f>
        <v>0.53545479271088314</v>
      </c>
      <c r="M39" s="101">
        <f t="shared" si="7"/>
        <v>273747.06020712585</v>
      </c>
      <c r="N39" s="102">
        <v>96105.59</v>
      </c>
      <c r="O39" s="102">
        <v>177641.47020712582</v>
      </c>
      <c r="P39" s="99">
        <v>574566.13</v>
      </c>
      <c r="Q39" s="102">
        <v>854482.06</v>
      </c>
      <c r="R39" s="97">
        <f>IF(Q39=0,"NA",(M39/Q39))</f>
        <v>0.3203660708887508</v>
      </c>
      <c r="S39" s="101">
        <f t="shared" si="3"/>
        <v>154721.41571385227</v>
      </c>
      <c r="T39" s="102">
        <v>124646.71000000002</v>
      </c>
      <c r="U39" s="102">
        <v>30074.705713852265</v>
      </c>
      <c r="V39" s="99">
        <v>374792.61</v>
      </c>
      <c r="W39" s="102">
        <v>304057.98</v>
      </c>
      <c r="X39" s="103">
        <f t="shared" si="9"/>
        <v>0.50885497467901442</v>
      </c>
    </row>
    <row r="40" spans="2:24" s="100" customFormat="1">
      <c r="B40" s="158" t="s">
        <v>39</v>
      </c>
      <c r="C40" s="271">
        <v>5370</v>
      </c>
      <c r="D40" s="183">
        <v>3833.9617706385102</v>
      </c>
      <c r="E40" s="183">
        <v>3833.9617706385102</v>
      </c>
      <c r="F40" s="180">
        <v>7330</v>
      </c>
      <c r="G40" s="284">
        <f t="shared" si="0"/>
        <v>0.73260572987721695</v>
      </c>
      <c r="H40" s="272">
        <v>283758</v>
      </c>
      <c r="I40" s="183">
        <v>0</v>
      </c>
      <c r="J40" s="183">
        <v>0</v>
      </c>
      <c r="K40" s="180">
        <v>152414</v>
      </c>
      <c r="L40" s="125">
        <f t="shared" ref="L40:L50" si="10">IF(K40=0,"NA",H40/K40)</f>
        <v>1.8617581062107156</v>
      </c>
      <c r="M40" s="101">
        <f t="shared" si="7"/>
        <v>3352336.0284686461</v>
      </c>
      <c r="N40" s="102">
        <v>2367917.5</v>
      </c>
      <c r="O40" s="102">
        <v>984418.52846864634</v>
      </c>
      <c r="P40" s="99">
        <v>2080567.73</v>
      </c>
      <c r="Q40" s="102">
        <v>3615972.34</v>
      </c>
      <c r="R40" s="97">
        <f t="shared" ref="R40:R50" si="11">IF(Q40=0,"NA",(M40/Q40))</f>
        <v>0.9270911703015533</v>
      </c>
      <c r="S40" s="101">
        <f t="shared" si="3"/>
        <v>608847.20671935962</v>
      </c>
      <c r="T40" s="102">
        <v>563107.5</v>
      </c>
      <c r="U40" s="102">
        <v>45739.706719359616</v>
      </c>
      <c r="V40" s="99">
        <v>0</v>
      </c>
      <c r="W40" s="102">
        <v>349519.51</v>
      </c>
      <c r="X40" s="103">
        <f t="shared" si="9"/>
        <v>1.7419548531621585</v>
      </c>
    </row>
    <row r="41" spans="2:24" s="100" customFormat="1">
      <c r="B41" s="158" t="s">
        <v>40</v>
      </c>
      <c r="C41" s="271">
        <v>867</v>
      </c>
      <c r="D41" s="183">
        <v>574.72225990737695</v>
      </c>
      <c r="E41" s="183">
        <v>574.72225990737695</v>
      </c>
      <c r="F41" s="180">
        <v>710</v>
      </c>
      <c r="G41" s="284">
        <f t="shared" si="0"/>
        <v>1.2211267605633802</v>
      </c>
      <c r="H41" s="272">
        <v>15378</v>
      </c>
      <c r="I41" s="183">
        <v>25861</v>
      </c>
      <c r="J41" s="183">
        <v>24973</v>
      </c>
      <c r="K41" s="180">
        <v>21360</v>
      </c>
      <c r="L41" s="125">
        <f t="shared" si="10"/>
        <v>0.71994382022471914</v>
      </c>
      <c r="M41" s="101">
        <f t="shared" si="7"/>
        <v>143029.4307151894</v>
      </c>
      <c r="N41" s="102">
        <v>101885.99000000002</v>
      </c>
      <c r="O41" s="102">
        <v>41143.44071518939</v>
      </c>
      <c r="P41" s="99">
        <v>427495.62</v>
      </c>
      <c r="Q41" s="102">
        <v>213325.84</v>
      </c>
      <c r="R41" s="97">
        <f t="shared" si="11"/>
        <v>0.67047400687694192</v>
      </c>
      <c r="S41" s="101">
        <f t="shared" si="3"/>
        <v>37821.375816670152</v>
      </c>
      <c r="T41" s="102">
        <v>30494.850000000002</v>
      </c>
      <c r="U41" s="102">
        <v>7326.5258166701506</v>
      </c>
      <c r="V41" s="99">
        <v>146860.79999999999</v>
      </c>
      <c r="W41" s="102">
        <v>48582.99</v>
      </c>
      <c r="X41" s="103">
        <f t="shared" si="9"/>
        <v>0.77849008092482885</v>
      </c>
    </row>
    <row r="42" spans="2:24" s="100" customFormat="1">
      <c r="B42" s="158" t="s">
        <v>41</v>
      </c>
      <c r="C42" s="271">
        <v>423</v>
      </c>
      <c r="D42" s="183">
        <v>3394.60626254309</v>
      </c>
      <c r="E42" s="183">
        <v>3394.60626254309</v>
      </c>
      <c r="F42" s="180">
        <v>306</v>
      </c>
      <c r="G42" s="284">
        <f t="shared" si="0"/>
        <v>1.3823529411764706</v>
      </c>
      <c r="H42" s="272">
        <v>0</v>
      </c>
      <c r="I42" s="183">
        <v>0</v>
      </c>
      <c r="J42" s="183">
        <v>0</v>
      </c>
      <c r="K42" s="180">
        <v>0</v>
      </c>
      <c r="L42" s="125" t="str">
        <f t="shared" si="10"/>
        <v>NA</v>
      </c>
      <c r="M42" s="101">
        <f t="shared" si="7"/>
        <v>343348.44023675821</v>
      </c>
      <c r="N42" s="102">
        <v>250000</v>
      </c>
      <c r="O42" s="102">
        <v>93348.440236758179</v>
      </c>
      <c r="P42" s="99">
        <v>774036</v>
      </c>
      <c r="Q42" s="102">
        <v>372704.7</v>
      </c>
      <c r="R42" s="97">
        <f t="shared" si="11"/>
        <v>0.92123453296070101</v>
      </c>
      <c r="S42" s="101">
        <f t="shared" si="3"/>
        <v>0</v>
      </c>
      <c r="T42" s="102">
        <v>0</v>
      </c>
      <c r="U42" s="102">
        <v>0</v>
      </c>
      <c r="V42" s="99">
        <v>0</v>
      </c>
      <c r="W42" s="102">
        <v>0</v>
      </c>
      <c r="X42" s="103" t="str">
        <f t="shared" si="9"/>
        <v>NA</v>
      </c>
    </row>
    <row r="43" spans="2:24" s="100" customFormat="1">
      <c r="B43" s="158" t="s">
        <v>42</v>
      </c>
      <c r="C43" s="271">
        <v>338</v>
      </c>
      <c r="D43" s="183">
        <v>8728.6038193643108</v>
      </c>
      <c r="E43" s="183">
        <v>8728.6038193643108</v>
      </c>
      <c r="F43" s="180">
        <v>140</v>
      </c>
      <c r="G43" s="284">
        <f t="shared" si="0"/>
        <v>2.4142857142857141</v>
      </c>
      <c r="H43" s="272">
        <v>181</v>
      </c>
      <c r="I43" s="183">
        <v>35129</v>
      </c>
      <c r="J43" s="183">
        <v>34151</v>
      </c>
      <c r="K43" s="180">
        <v>5468</v>
      </c>
      <c r="L43" s="125">
        <f t="shared" si="10"/>
        <v>3.3101682516459403E-2</v>
      </c>
      <c r="M43" s="101">
        <f t="shared" si="7"/>
        <v>55277.9586690703</v>
      </c>
      <c r="N43" s="102">
        <v>50023.640000000007</v>
      </c>
      <c r="O43" s="102">
        <v>5254.3186690702923</v>
      </c>
      <c r="P43" s="99">
        <v>4521693.1100000003</v>
      </c>
      <c r="Q43" s="102">
        <v>38868.31</v>
      </c>
      <c r="R43" s="97">
        <f t="shared" si="11"/>
        <v>1.4221858030120245</v>
      </c>
      <c r="S43" s="101">
        <f t="shared" si="3"/>
        <v>1030.5560727537099</v>
      </c>
      <c r="T43" s="102">
        <v>0</v>
      </c>
      <c r="U43" s="102">
        <v>1030.5560727537099</v>
      </c>
      <c r="V43" s="99">
        <v>375594.66</v>
      </c>
      <c r="W43" s="102">
        <v>9877.44</v>
      </c>
      <c r="X43" s="103">
        <f t="shared" si="9"/>
        <v>0.10433432880925725</v>
      </c>
    </row>
    <row r="44" spans="2:24" s="100" customFormat="1">
      <c r="B44" s="158" t="s">
        <v>43</v>
      </c>
      <c r="C44" s="271">
        <v>5000</v>
      </c>
      <c r="D44" s="183">
        <v>2318.0610899407102</v>
      </c>
      <c r="E44" s="183">
        <v>2318.0610899407102</v>
      </c>
      <c r="F44" s="180">
        <v>4441</v>
      </c>
      <c r="G44" s="284">
        <f t="shared" si="0"/>
        <v>1.125872551227201</v>
      </c>
      <c r="H44" s="272">
        <v>161562</v>
      </c>
      <c r="I44" s="183">
        <v>51962</v>
      </c>
      <c r="J44" s="183">
        <v>75635</v>
      </c>
      <c r="K44" s="180">
        <v>105400</v>
      </c>
      <c r="L44" s="125">
        <f t="shared" si="10"/>
        <v>1.5328462998102468</v>
      </c>
      <c r="M44" s="101">
        <f t="shared" si="7"/>
        <v>529485.40593819623</v>
      </c>
      <c r="N44" s="102">
        <v>288848.94999999995</v>
      </c>
      <c r="O44" s="102">
        <v>240636.4559381963</v>
      </c>
      <c r="P44" s="99">
        <v>870396.95</v>
      </c>
      <c r="Q44" s="102">
        <v>765807.01</v>
      </c>
      <c r="R44" s="97">
        <f t="shared" si="11"/>
        <v>0.69140840841636619</v>
      </c>
      <c r="S44" s="101">
        <f t="shared" si="3"/>
        <v>105006.91177298542</v>
      </c>
      <c r="T44" s="102">
        <v>72321.87</v>
      </c>
      <c r="U44" s="102">
        <v>32685.041772985431</v>
      </c>
      <c r="V44" s="99">
        <v>117205.88</v>
      </c>
      <c r="W44" s="102">
        <v>130936.51999999999</v>
      </c>
      <c r="X44" s="103">
        <f t="shared" si="9"/>
        <v>0.80196809700597993</v>
      </c>
    </row>
    <row r="45" spans="2:24" s="100" customFormat="1">
      <c r="B45" s="158" t="s">
        <v>44</v>
      </c>
      <c r="C45" s="271">
        <v>643</v>
      </c>
      <c r="D45" s="183">
        <v>751.87800000000004</v>
      </c>
      <c r="E45" s="183">
        <v>751.87800000000004</v>
      </c>
      <c r="F45" s="180">
        <v>713</v>
      </c>
      <c r="G45" s="284">
        <f t="shared" si="0"/>
        <v>0.90182328190743333</v>
      </c>
      <c r="H45" s="272">
        <v>19791</v>
      </c>
      <c r="I45" s="183">
        <v>0</v>
      </c>
      <c r="J45" s="183">
        <v>0</v>
      </c>
      <c r="K45" s="180">
        <v>17550</v>
      </c>
      <c r="L45" s="125">
        <f t="shared" si="10"/>
        <v>1.1276923076923078</v>
      </c>
      <c r="M45" s="101">
        <f t="shared" si="7"/>
        <v>111810.87504680498</v>
      </c>
      <c r="N45" s="102">
        <v>50085.739999999991</v>
      </c>
      <c r="O45" s="102">
        <v>61725.135046805</v>
      </c>
      <c r="P45" s="99">
        <v>225563.4</v>
      </c>
      <c r="Q45" s="102">
        <v>191955.78</v>
      </c>
      <c r="R45" s="97">
        <f t="shared" si="11"/>
        <v>0.58248246052713282</v>
      </c>
      <c r="S45" s="101">
        <f t="shared" si="3"/>
        <v>17777.10318677</v>
      </c>
      <c r="T45" s="102">
        <v>9469.26</v>
      </c>
      <c r="U45" s="102">
        <v>8307.8431867699983</v>
      </c>
      <c r="V45" s="99">
        <v>221554.63</v>
      </c>
      <c r="W45" s="102">
        <v>30862.09</v>
      </c>
      <c r="X45" s="103">
        <f t="shared" si="9"/>
        <v>0.57601747602868114</v>
      </c>
    </row>
    <row r="46" spans="2:24" s="100" customFormat="1">
      <c r="B46" s="158" t="s">
        <v>45</v>
      </c>
      <c r="C46" s="271">
        <v>9485</v>
      </c>
      <c r="D46" s="183">
        <v>55091.6698677163</v>
      </c>
      <c r="E46" s="183">
        <v>55091.6698677163</v>
      </c>
      <c r="F46" s="180">
        <v>14381</v>
      </c>
      <c r="G46" s="284">
        <f t="shared" si="0"/>
        <v>0.65955079618941659</v>
      </c>
      <c r="H46" s="272">
        <v>81261.614334470985</v>
      </c>
      <c r="I46" s="183">
        <v>252687</v>
      </c>
      <c r="J46" s="183">
        <v>315726</v>
      </c>
      <c r="K46" s="180">
        <v>49455</v>
      </c>
      <c r="L46" s="125">
        <f t="shared" si="10"/>
        <v>1.643142540379557</v>
      </c>
      <c r="M46" s="101">
        <f t="shared" si="7"/>
        <v>2825242.873926478</v>
      </c>
      <c r="N46" s="102">
        <v>1630742.69</v>
      </c>
      <c r="O46" s="102">
        <v>1194500.183926478</v>
      </c>
      <c r="P46" s="99">
        <v>5749358.6600000001</v>
      </c>
      <c r="Q46" s="102">
        <v>4552581.33</v>
      </c>
      <c r="R46" s="97">
        <f t="shared" si="11"/>
        <v>0.62058042880180198</v>
      </c>
      <c r="S46" s="101">
        <f t="shared" si="3"/>
        <v>237951.09598964738</v>
      </c>
      <c r="T46" s="102">
        <v>118085.57999999999</v>
      </c>
      <c r="U46" s="102">
        <v>119865.51598964741</v>
      </c>
      <c r="V46" s="99">
        <v>376643.76</v>
      </c>
      <c r="W46" s="102">
        <v>223060.83</v>
      </c>
      <c r="X46" s="103">
        <f t="shared" si="9"/>
        <v>1.0667542839755748</v>
      </c>
    </row>
    <row r="47" spans="2:24" s="100" customFormat="1">
      <c r="B47" s="158" t="s">
        <v>46</v>
      </c>
      <c r="C47" s="271">
        <v>6189</v>
      </c>
      <c r="D47" s="183">
        <v>960.45344614696205</v>
      </c>
      <c r="E47" s="183">
        <v>960.45344614696205</v>
      </c>
      <c r="F47" s="180">
        <v>4788</v>
      </c>
      <c r="G47" s="284">
        <f t="shared" si="0"/>
        <v>1.2926065162907268</v>
      </c>
      <c r="H47" s="272">
        <v>642139.80204778153</v>
      </c>
      <c r="I47" s="183">
        <v>251796</v>
      </c>
      <c r="J47" s="183">
        <v>314745</v>
      </c>
      <c r="K47" s="180">
        <v>404147</v>
      </c>
      <c r="L47" s="125">
        <f t="shared" si="10"/>
        <v>1.5888768246399987</v>
      </c>
      <c r="M47" s="239">
        <f t="shared" si="7"/>
        <v>875185.99975498021</v>
      </c>
      <c r="N47" s="102">
        <v>681445.15</v>
      </c>
      <c r="O47" s="102">
        <v>193740.84975498015</v>
      </c>
      <c r="P47" s="99">
        <v>276574.8</v>
      </c>
      <c r="Q47" s="102">
        <v>713436.48</v>
      </c>
      <c r="R47" s="97">
        <f t="shared" si="11"/>
        <v>1.22671888008163</v>
      </c>
      <c r="S47" s="101">
        <f t="shared" si="3"/>
        <v>929676.06856832141</v>
      </c>
      <c r="T47" s="102">
        <v>805179.84000000008</v>
      </c>
      <c r="U47" s="102">
        <v>124496.22856832127</v>
      </c>
      <c r="V47" s="99">
        <v>376643.76</v>
      </c>
      <c r="W47" s="102">
        <v>917444.38</v>
      </c>
      <c r="X47" s="103">
        <f t="shared" si="9"/>
        <v>1.0133323488976209</v>
      </c>
    </row>
    <row r="48" spans="2:24" s="100" customFormat="1">
      <c r="B48" s="158" t="s">
        <v>47</v>
      </c>
      <c r="C48" s="271">
        <v>0</v>
      </c>
      <c r="D48" s="183">
        <v>2079.02095524474</v>
      </c>
      <c r="E48" s="183">
        <v>2079.02095524474</v>
      </c>
      <c r="F48" s="180">
        <v>0</v>
      </c>
      <c r="G48" s="284" t="str">
        <f t="shared" si="0"/>
        <v>NA</v>
      </c>
      <c r="H48" s="272">
        <v>0</v>
      </c>
      <c r="I48" s="183">
        <v>156986</v>
      </c>
      <c r="J48" s="183">
        <v>128673</v>
      </c>
      <c r="K48" s="180">
        <v>0</v>
      </c>
      <c r="L48" s="125" t="str">
        <f t="shared" si="10"/>
        <v>NA</v>
      </c>
      <c r="M48" s="101">
        <f t="shared" si="7"/>
        <v>0</v>
      </c>
      <c r="N48" s="102">
        <v>0</v>
      </c>
      <c r="O48" s="102">
        <v>0</v>
      </c>
      <c r="P48" s="99">
        <v>350000</v>
      </c>
      <c r="Q48" s="102">
        <v>0</v>
      </c>
      <c r="R48" s="97" t="str">
        <f t="shared" si="11"/>
        <v>NA</v>
      </c>
      <c r="S48" s="101">
        <f t="shared" si="3"/>
        <v>0</v>
      </c>
      <c r="T48" s="102">
        <v>0</v>
      </c>
      <c r="U48" s="102">
        <v>0</v>
      </c>
      <c r="V48" s="99">
        <v>263869.73</v>
      </c>
      <c r="W48" s="102">
        <v>0</v>
      </c>
      <c r="X48" s="103" t="str">
        <f t="shared" si="9"/>
        <v>NA</v>
      </c>
    </row>
    <row r="49" spans="2:24" s="100" customFormat="1">
      <c r="B49" s="158" t="s">
        <v>48</v>
      </c>
      <c r="C49" s="271">
        <v>0</v>
      </c>
      <c r="D49" s="183">
        <v>5109.7612157499998</v>
      </c>
      <c r="E49" s="183">
        <v>5109.7612157499998</v>
      </c>
      <c r="F49" s="180">
        <v>0</v>
      </c>
      <c r="G49" s="284" t="str">
        <f t="shared" si="0"/>
        <v>NA</v>
      </c>
      <c r="H49" s="272">
        <v>0</v>
      </c>
      <c r="I49" s="183">
        <v>89484</v>
      </c>
      <c r="J49" s="183">
        <v>78299</v>
      </c>
      <c r="K49" s="180">
        <v>0</v>
      </c>
      <c r="L49" s="125" t="str">
        <f t="shared" si="10"/>
        <v>NA</v>
      </c>
      <c r="M49" s="101">
        <f t="shared" si="7"/>
        <v>90552</v>
      </c>
      <c r="N49" s="102">
        <v>0</v>
      </c>
      <c r="O49" s="102">
        <v>90552</v>
      </c>
      <c r="P49" s="99">
        <v>481506.6</v>
      </c>
      <c r="Q49" s="102">
        <v>54664</v>
      </c>
      <c r="R49" s="97">
        <f t="shared" si="11"/>
        <v>1.6565198302356212</v>
      </c>
      <c r="S49" s="101">
        <f t="shared" si="3"/>
        <v>12348</v>
      </c>
      <c r="T49" s="102">
        <v>0</v>
      </c>
      <c r="U49" s="102">
        <v>12348</v>
      </c>
      <c r="V49" s="99">
        <v>54307.4</v>
      </c>
      <c r="W49" s="102">
        <v>7454</v>
      </c>
      <c r="X49" s="103">
        <f t="shared" si="9"/>
        <v>1.6565602361148377</v>
      </c>
    </row>
    <row r="50" spans="2:24" s="100" customFormat="1">
      <c r="B50" s="158" t="s">
        <v>49</v>
      </c>
      <c r="C50" s="271">
        <v>1030</v>
      </c>
      <c r="D50" s="183">
        <v>3479.8894524610901</v>
      </c>
      <c r="E50" s="183">
        <v>3479.8894524610901</v>
      </c>
      <c r="F50" s="180">
        <v>1568</v>
      </c>
      <c r="G50" s="284">
        <f>IF(F50=0,"NA",C50/F50)</f>
        <v>0.65688775510204078</v>
      </c>
      <c r="H50" s="272">
        <v>8082</v>
      </c>
      <c r="I50" s="183">
        <v>51116</v>
      </c>
      <c r="J50" s="183">
        <v>53627</v>
      </c>
      <c r="K50" s="180">
        <v>48332</v>
      </c>
      <c r="L50" s="125">
        <f t="shared" si="10"/>
        <v>0.1672184060249938</v>
      </c>
      <c r="M50" s="101">
        <f t="shared" si="7"/>
        <v>1052882.2803337683</v>
      </c>
      <c r="N50" s="102">
        <v>557317.8899999999</v>
      </c>
      <c r="O50" s="102">
        <v>495564.39033376839</v>
      </c>
      <c r="P50" s="99">
        <v>2826768.68</v>
      </c>
      <c r="Q50" s="102">
        <v>1690873.15</v>
      </c>
      <c r="R50" s="97">
        <f t="shared" si="11"/>
        <v>0.62268555174216844</v>
      </c>
      <c r="S50" s="101">
        <f t="shared" si="3"/>
        <v>110869.31236433699</v>
      </c>
      <c r="T50" s="102">
        <v>52964.42</v>
      </c>
      <c r="U50" s="102">
        <v>57904.892364336993</v>
      </c>
      <c r="V50" s="99">
        <v>407995.66</v>
      </c>
      <c r="W50" s="102">
        <v>232259.4</v>
      </c>
      <c r="X50" s="103">
        <f t="shared" si="9"/>
        <v>0.47735123902127102</v>
      </c>
    </row>
    <row r="51" spans="2:24" s="100" customFormat="1">
      <c r="B51" s="158"/>
      <c r="C51" s="271"/>
      <c r="D51" s="183"/>
      <c r="E51" s="183"/>
      <c r="F51" s="180"/>
      <c r="G51" s="284"/>
      <c r="H51" s="272"/>
      <c r="I51" s="183"/>
      <c r="J51" s="183"/>
      <c r="K51" s="180"/>
      <c r="L51" s="125"/>
      <c r="M51" s="101"/>
      <c r="N51" s="102"/>
      <c r="O51" s="102"/>
      <c r="P51" s="99"/>
      <c r="Q51" s="102"/>
      <c r="R51" s="103"/>
      <c r="S51" s="101">
        <f t="shared" si="3"/>
        <v>0</v>
      </c>
      <c r="T51" s="102"/>
      <c r="U51" s="102"/>
      <c r="V51" s="99"/>
      <c r="W51" s="102"/>
      <c r="X51" s="103"/>
    </row>
    <row r="52" spans="2:24" s="100" customFormat="1">
      <c r="B52" s="158"/>
      <c r="C52" s="271"/>
      <c r="D52" s="180"/>
      <c r="E52" s="180"/>
      <c r="F52" s="180"/>
      <c r="G52" s="284"/>
      <c r="H52" s="272"/>
      <c r="I52" s="180"/>
      <c r="J52" s="180"/>
      <c r="K52" s="180"/>
      <c r="L52" s="129"/>
      <c r="M52" s="101"/>
      <c r="N52" s="102"/>
      <c r="O52" s="102"/>
      <c r="P52" s="102"/>
      <c r="Q52" s="102"/>
      <c r="R52" s="103"/>
      <c r="S52" s="101"/>
      <c r="T52" s="102"/>
      <c r="U52" s="102"/>
      <c r="V52" s="102"/>
      <c r="W52" s="102"/>
      <c r="X52" s="103"/>
    </row>
    <row r="53" spans="2:24" s="96" customFormat="1">
      <c r="B53" s="159" t="s">
        <v>50</v>
      </c>
      <c r="C53" s="273">
        <f>SUM(C39:C52)</f>
        <v>29415</v>
      </c>
      <c r="D53" s="274">
        <f>SUM(D39:D52)</f>
        <v>86597.427001372576</v>
      </c>
      <c r="E53" s="274">
        <f>SUM(E39:E52)</f>
        <v>86597.427001372576</v>
      </c>
      <c r="F53" s="274">
        <f>SUM(F39:F52)</f>
        <v>34503</v>
      </c>
      <c r="G53" s="275">
        <f t="shared" si="0"/>
        <v>0.85253456221198154</v>
      </c>
      <c r="H53" s="273">
        <f>SUM(H39:H52)</f>
        <v>1225934.4163822525</v>
      </c>
      <c r="I53" s="274">
        <f>SUM(I39:I52)</f>
        <v>992142</v>
      </c>
      <c r="J53" s="274">
        <f>SUM(J39:J52)</f>
        <v>1090246</v>
      </c>
      <c r="K53" s="274">
        <f>SUM(K39:K52)</f>
        <v>829863</v>
      </c>
      <c r="L53" s="126">
        <f t="shared" ref="L53" si="12">IF(K53=0,"NA",H53/K53)</f>
        <v>1.4772732564076871</v>
      </c>
      <c r="M53" s="19">
        <f t="shared" si="7"/>
        <v>9652898.3532970175</v>
      </c>
      <c r="N53" s="21">
        <f>SUM(N39:N52)</f>
        <v>6074373.1399999997</v>
      </c>
      <c r="O53" s="21">
        <f>SUM(O39:O52)</f>
        <v>3578525.2132970178</v>
      </c>
      <c r="P53" s="21">
        <f>SUM(P39:P52)</f>
        <v>19158527.68</v>
      </c>
      <c r="Q53" s="21">
        <f>SUM(Q39:Q52)</f>
        <v>13064671.000000002</v>
      </c>
      <c r="R53" s="13" t="str">
        <f>IF(Q18=0,"NA",(M53/Q18))</f>
        <v>NA</v>
      </c>
      <c r="S53" s="19">
        <f t="shared" si="3"/>
        <v>2216049.0462046964</v>
      </c>
      <c r="T53" s="21">
        <f>SUM(T39:T52)</f>
        <v>1776270.0299999998</v>
      </c>
      <c r="U53" s="21">
        <f>SUM(U39:U52)</f>
        <v>439779.01620469685</v>
      </c>
      <c r="V53" s="21">
        <f>SUM(V39:V52)</f>
        <v>2715468.89</v>
      </c>
      <c r="W53" s="21">
        <f>SUM(W39:W52)</f>
        <v>2254055.1399999997</v>
      </c>
      <c r="X53" s="13">
        <f t="shared" si="9"/>
        <v>0.9831387914515245</v>
      </c>
    </row>
    <row r="54" spans="2:24" s="96" customFormat="1" ht="15.6" customHeight="1">
      <c r="B54" s="161" t="s">
        <v>51</v>
      </c>
      <c r="C54" s="279"/>
      <c r="D54" s="280"/>
      <c r="E54" s="280"/>
      <c r="F54" s="280"/>
      <c r="G54" s="281"/>
      <c r="H54" s="282"/>
      <c r="I54" s="283"/>
      <c r="J54" s="280"/>
      <c r="K54" s="280"/>
      <c r="L54" s="128"/>
      <c r="M54" s="117">
        <f t="shared" si="7"/>
        <v>0</v>
      </c>
      <c r="N54" s="118"/>
      <c r="O54" s="118"/>
      <c r="P54" s="118"/>
      <c r="Q54" s="118"/>
      <c r="R54" s="116"/>
      <c r="S54" s="117">
        <f t="shared" si="3"/>
        <v>0</v>
      </c>
      <c r="T54" s="118"/>
      <c r="U54" s="118"/>
      <c r="V54" s="118"/>
      <c r="W54" s="118"/>
      <c r="X54" s="116"/>
    </row>
    <row r="55" spans="2:24" s="100" customFormat="1">
      <c r="B55" s="158" t="s">
        <v>52</v>
      </c>
      <c r="C55" s="271">
        <v>0</v>
      </c>
      <c r="D55" s="183">
        <v>0</v>
      </c>
      <c r="E55" s="183">
        <v>0</v>
      </c>
      <c r="F55" s="180">
        <v>102</v>
      </c>
      <c r="G55" s="284">
        <f t="shared" ref="G55" si="13">IF(F55=0,"NA",C55/F55)</f>
        <v>0</v>
      </c>
      <c r="H55" s="272">
        <v>0</v>
      </c>
      <c r="I55" s="183">
        <v>0</v>
      </c>
      <c r="J55" s="183">
        <v>0</v>
      </c>
      <c r="K55" s="180">
        <v>0</v>
      </c>
      <c r="L55" s="129" t="str">
        <f t="shared" ref="L55" si="14">IF(K55=0,"NA",H55/K55)</f>
        <v>NA</v>
      </c>
      <c r="M55" s="304">
        <f t="shared" ref="M55" si="15">SUM(N55:O55)</f>
        <v>18097.406747177651</v>
      </c>
      <c r="N55" s="102">
        <v>0</v>
      </c>
      <c r="O55" s="102">
        <v>18097.406747177651</v>
      </c>
      <c r="P55" s="99">
        <v>0</v>
      </c>
      <c r="Q55" s="102">
        <v>183406.9</v>
      </c>
      <c r="R55" s="103">
        <f t="shared" ref="R55" si="16">IF(Q55=0,"NA",(M55/Q55))</f>
        <v>9.86735327142962E-2</v>
      </c>
      <c r="S55" s="101">
        <f t="shared" ref="S55" si="17">SUM(T55:U55)</f>
        <v>0</v>
      </c>
      <c r="T55" s="102">
        <v>0</v>
      </c>
      <c r="U55" s="102">
        <v>0</v>
      </c>
      <c r="V55" s="99">
        <v>0</v>
      </c>
      <c r="W55" s="102">
        <v>0</v>
      </c>
      <c r="X55" s="103" t="str">
        <f t="shared" ref="X55" si="18">IF(W55=0,"NA",(S55/W55))</f>
        <v>NA</v>
      </c>
    </row>
    <row r="56" spans="2:24" s="100" customFormat="1">
      <c r="B56" s="158" t="s">
        <v>53</v>
      </c>
      <c r="C56" s="271">
        <v>843</v>
      </c>
      <c r="D56" s="183">
        <v>2320.4913394202799</v>
      </c>
      <c r="E56" s="183">
        <v>2320.4913394202799</v>
      </c>
      <c r="F56" s="180">
        <v>1225</v>
      </c>
      <c r="G56" s="284">
        <f t="shared" si="0"/>
        <v>0.68816326530612248</v>
      </c>
      <c r="H56" s="272">
        <v>89422.686006825941</v>
      </c>
      <c r="I56" s="183">
        <f>231432+19687</f>
        <v>251119</v>
      </c>
      <c r="J56" s="183">
        <v>235163</v>
      </c>
      <c r="K56" s="180">
        <v>91742</v>
      </c>
      <c r="L56" s="129">
        <f t="shared" si="1"/>
        <v>0.97471916904826517</v>
      </c>
      <c r="M56" s="304">
        <f t="shared" si="7"/>
        <v>2757115.1990235001</v>
      </c>
      <c r="N56" s="102">
        <v>1295640.6399999999</v>
      </c>
      <c r="O56" s="102">
        <v>1461474.5590235004</v>
      </c>
      <c r="P56" s="99">
        <v>3686148.33</v>
      </c>
      <c r="Q56" s="102">
        <v>4499696.2300000004</v>
      </c>
      <c r="R56" s="103">
        <f t="shared" si="8"/>
        <v>0.61273362869286396</v>
      </c>
      <c r="S56" s="101">
        <f t="shared" si="3"/>
        <v>1242013.1946902173</v>
      </c>
      <c r="T56" s="102">
        <v>747650.7</v>
      </c>
      <c r="U56" s="102">
        <v>494362.49469021719</v>
      </c>
      <c r="V56" s="99">
        <v>1966162.31</v>
      </c>
      <c r="W56" s="102">
        <v>2086925.4300000002</v>
      </c>
      <c r="X56" s="103">
        <f t="shared" si="9"/>
        <v>0.59514018892865628</v>
      </c>
    </row>
    <row r="57" spans="2:24" s="100" customFormat="1">
      <c r="B57" s="158" t="s">
        <v>54</v>
      </c>
      <c r="C57" s="271">
        <v>2538</v>
      </c>
      <c r="D57" s="183">
        <v>3717.5297428754402</v>
      </c>
      <c r="E57" s="183">
        <v>3717.5297428754402</v>
      </c>
      <c r="F57" s="180">
        <f>3742+830</f>
        <v>4572</v>
      </c>
      <c r="G57" s="284">
        <f t="shared" si="0"/>
        <v>0.55511811023622049</v>
      </c>
      <c r="H57" s="272">
        <v>248157.30034129691</v>
      </c>
      <c r="I57" s="183">
        <f>399533+229633</f>
        <v>629166</v>
      </c>
      <c r="J57" s="183">
        <v>588427</v>
      </c>
      <c r="K57" s="180">
        <v>264229</v>
      </c>
      <c r="L57" s="129">
        <f t="shared" si="1"/>
        <v>0.93917511076110838</v>
      </c>
      <c r="M57" s="304">
        <f t="shared" si="7"/>
        <v>12538940.907908713</v>
      </c>
      <c r="N57" s="102">
        <v>6533023.144199999</v>
      </c>
      <c r="O57" s="102">
        <v>6005917.7637087144</v>
      </c>
      <c r="P57" s="99">
        <v>12918246.189999999</v>
      </c>
      <c r="Q57" s="102">
        <v>16920980.059999999</v>
      </c>
      <c r="R57" s="103">
        <f t="shared" si="8"/>
        <v>0.74102923491706507</v>
      </c>
      <c r="S57" s="101">
        <f t="shared" si="3"/>
        <v>2180084.3429309689</v>
      </c>
      <c r="T57" s="102">
        <v>1296910.8986000004</v>
      </c>
      <c r="U57" s="102">
        <v>883173.44433096843</v>
      </c>
      <c r="V57" s="99">
        <v>3429617.47</v>
      </c>
      <c r="W57" s="102">
        <v>2865185.45</v>
      </c>
      <c r="X57" s="103">
        <f t="shared" si="9"/>
        <v>0.76088769155621971</v>
      </c>
    </row>
    <row r="58" spans="2:24" s="100" customFormat="1">
      <c r="B58" s="158" t="s">
        <v>55</v>
      </c>
      <c r="C58" s="271">
        <v>47.201701999999997</v>
      </c>
      <c r="D58" s="183">
        <v>0</v>
      </c>
      <c r="E58" s="183">
        <v>0</v>
      </c>
      <c r="F58" s="180">
        <v>192</v>
      </c>
      <c r="G58" s="284">
        <f t="shared" si="0"/>
        <v>0.24584219791666664</v>
      </c>
      <c r="H58" s="272">
        <v>0</v>
      </c>
      <c r="I58" s="183">
        <v>0</v>
      </c>
      <c r="J58" s="183">
        <v>0</v>
      </c>
      <c r="K58" s="180">
        <v>0</v>
      </c>
      <c r="L58" s="129" t="str">
        <f t="shared" si="1"/>
        <v>NA</v>
      </c>
      <c r="M58" s="304">
        <f t="shared" si="7"/>
        <v>232429.66135126093</v>
      </c>
      <c r="N58" s="102">
        <v>90802.729999999981</v>
      </c>
      <c r="O58" s="102">
        <v>141626.93135126095</v>
      </c>
      <c r="P58" s="99">
        <v>0</v>
      </c>
      <c r="Q58" s="102">
        <v>409250.70999999996</v>
      </c>
      <c r="R58" s="103">
        <f t="shared" si="8"/>
        <v>0.56793954334559604</v>
      </c>
      <c r="S58" s="101">
        <f t="shared" si="3"/>
        <v>0</v>
      </c>
      <c r="T58" s="102">
        <v>0</v>
      </c>
      <c r="U58" s="102">
        <v>0</v>
      </c>
      <c r="V58" s="99">
        <v>0</v>
      </c>
      <c r="W58" s="102">
        <v>0</v>
      </c>
      <c r="X58" s="103" t="str">
        <f t="shared" si="9"/>
        <v>NA</v>
      </c>
    </row>
    <row r="59" spans="2:24" s="100" customFormat="1">
      <c r="B59" s="158" t="s">
        <v>56</v>
      </c>
      <c r="C59" s="271">
        <v>5732</v>
      </c>
      <c r="D59" s="183">
        <v>7125.9745478947898</v>
      </c>
      <c r="E59" s="183">
        <v>7125.9745478947898</v>
      </c>
      <c r="F59" s="180">
        <v>6933</v>
      </c>
      <c r="G59" s="284">
        <f t="shared" si="0"/>
        <v>0.82677051781335642</v>
      </c>
      <c r="H59" s="272">
        <v>39894</v>
      </c>
      <c r="I59" s="183">
        <f>32208+3674</f>
        <v>35882</v>
      </c>
      <c r="J59" s="183">
        <v>35652</v>
      </c>
      <c r="K59" s="180">
        <v>64947</v>
      </c>
      <c r="L59" s="129">
        <f t="shared" si="1"/>
        <v>0.61425469998614257</v>
      </c>
      <c r="M59" s="304">
        <f t="shared" si="7"/>
        <v>5746152.6656661704</v>
      </c>
      <c r="N59" s="102">
        <v>3444535.9399999995</v>
      </c>
      <c r="O59" s="102">
        <v>2301616.7256661709</v>
      </c>
      <c r="P59" s="99">
        <v>5912601.4000000004</v>
      </c>
      <c r="Q59" s="102">
        <v>7653745.6500000004</v>
      </c>
      <c r="R59" s="103">
        <f t="shared" si="8"/>
        <v>0.75076347300176749</v>
      </c>
      <c r="S59" s="101">
        <f t="shared" si="3"/>
        <v>269745.35448718397</v>
      </c>
      <c r="T59" s="102">
        <v>102533.11999999998</v>
      </c>
      <c r="U59" s="102">
        <v>167212.23448718397</v>
      </c>
      <c r="V59" s="99">
        <v>630989.74</v>
      </c>
      <c r="W59" s="102">
        <v>515723.78</v>
      </c>
      <c r="X59" s="103">
        <f t="shared" si="9"/>
        <v>0.52304230471432589</v>
      </c>
    </row>
    <row r="60" spans="2:24" s="100" customFormat="1">
      <c r="B60" s="158" t="s">
        <v>57</v>
      </c>
      <c r="C60" s="271">
        <v>60</v>
      </c>
      <c r="D60" s="183">
        <v>0</v>
      </c>
      <c r="E60" s="183">
        <v>0</v>
      </c>
      <c r="F60" s="180">
        <v>73</v>
      </c>
      <c r="G60" s="284">
        <f t="shared" si="0"/>
        <v>0.82191780821917804</v>
      </c>
      <c r="H60" s="272">
        <v>27.245665529010239</v>
      </c>
      <c r="I60" s="183">
        <v>0</v>
      </c>
      <c r="J60" s="183">
        <v>0</v>
      </c>
      <c r="K60" s="180">
        <v>0</v>
      </c>
      <c r="L60" s="129" t="str">
        <f t="shared" si="1"/>
        <v>NA</v>
      </c>
      <c r="M60" s="304">
        <f t="shared" si="7"/>
        <v>36372.248998113988</v>
      </c>
      <c r="N60" s="102">
        <v>0</v>
      </c>
      <c r="O60" s="102">
        <v>36372.248998113988</v>
      </c>
      <c r="P60" s="99">
        <v>0</v>
      </c>
      <c r="Q60" s="102">
        <v>117595.78</v>
      </c>
      <c r="R60" s="103">
        <f t="shared" si="8"/>
        <v>0.30929893060885338</v>
      </c>
      <c r="S60" s="101">
        <f t="shared" si="3"/>
        <v>0</v>
      </c>
      <c r="T60" s="102">
        <v>0</v>
      </c>
      <c r="U60" s="102">
        <v>0</v>
      </c>
      <c r="V60" s="99">
        <v>0</v>
      </c>
      <c r="W60" s="102">
        <v>0</v>
      </c>
      <c r="X60" s="103" t="str">
        <f t="shared" si="9"/>
        <v>NA</v>
      </c>
    </row>
    <row r="61" spans="2:24" s="100" customFormat="1">
      <c r="B61" s="158" t="s">
        <v>58</v>
      </c>
      <c r="C61" s="271">
        <v>53860</v>
      </c>
      <c r="D61" s="183">
        <v>55707.5688697527</v>
      </c>
      <c r="E61" s="183">
        <v>55707.5688697527</v>
      </c>
      <c r="F61" s="180">
        <f>91826</f>
        <v>91826</v>
      </c>
      <c r="G61" s="284">
        <f t="shared" si="0"/>
        <v>0.58654411604556445</v>
      </c>
      <c r="H61" s="272">
        <v>340073.13310580206</v>
      </c>
      <c r="I61" s="183">
        <v>212167</v>
      </c>
      <c r="J61" s="183">
        <v>235961</v>
      </c>
      <c r="K61" s="180">
        <v>905300</v>
      </c>
      <c r="L61" s="129">
        <f t="shared" si="1"/>
        <v>0.37564689396421302</v>
      </c>
      <c r="M61" s="304">
        <f t="shared" si="7"/>
        <v>5769005.9348186171</v>
      </c>
      <c r="N61" s="102">
        <v>4585255.5</v>
      </c>
      <c r="O61" s="102">
        <v>1183750.4348186171</v>
      </c>
      <c r="P61" s="99">
        <v>2651109.48</v>
      </c>
      <c r="Q61" s="102">
        <v>8222194.8399999999</v>
      </c>
      <c r="R61" s="103">
        <f t="shared" si="8"/>
        <v>0.70163819358221591</v>
      </c>
      <c r="S61" s="101">
        <f t="shared" si="3"/>
        <v>472482.28782365919</v>
      </c>
      <c r="T61" s="102">
        <v>386755.76</v>
      </c>
      <c r="U61" s="102">
        <v>85726.527823659169</v>
      </c>
      <c r="V61" s="99">
        <v>637875.84</v>
      </c>
      <c r="W61" s="102">
        <v>422269.08999999997</v>
      </c>
      <c r="X61" s="103">
        <f t="shared" si="9"/>
        <v>1.1189127952123117</v>
      </c>
    </row>
    <row r="62" spans="2:24" s="100" customFormat="1">
      <c r="B62" s="158" t="s">
        <v>59</v>
      </c>
      <c r="C62" s="271">
        <v>2383</v>
      </c>
      <c r="D62" s="183">
        <v>1266.81790043157</v>
      </c>
      <c r="E62" s="183">
        <v>1266.81790043157</v>
      </c>
      <c r="F62" s="180">
        <v>2368</v>
      </c>
      <c r="G62" s="284">
        <f t="shared" si="0"/>
        <v>1.0063344594594594</v>
      </c>
      <c r="H62" s="272">
        <v>39058</v>
      </c>
      <c r="I62" s="183">
        <v>33719.125496570567</v>
      </c>
      <c r="J62" s="183">
        <v>31207</v>
      </c>
      <c r="K62" s="180">
        <v>54500</v>
      </c>
      <c r="L62" s="129">
        <f t="shared" si="1"/>
        <v>0.71666055045871557</v>
      </c>
      <c r="M62" s="304">
        <f t="shared" si="7"/>
        <v>473239.28091880499</v>
      </c>
      <c r="N62" s="102">
        <v>86382.61</v>
      </c>
      <c r="O62" s="102">
        <v>386856.670918805</v>
      </c>
      <c r="P62" s="99">
        <v>639790.18000000005</v>
      </c>
      <c r="Q62" s="102">
        <v>500647.28</v>
      </c>
      <c r="R62" s="103">
        <f t="shared" si="8"/>
        <v>0.94525487268962083</v>
      </c>
      <c r="S62" s="101">
        <f t="shared" si="3"/>
        <v>96929.249486714572</v>
      </c>
      <c r="T62" s="102">
        <v>43628.539999999994</v>
      </c>
      <c r="U62" s="102">
        <v>53300.709486714572</v>
      </c>
      <c r="V62" s="99">
        <v>59927.18</v>
      </c>
      <c r="W62" s="102">
        <v>114948.15</v>
      </c>
      <c r="X62" s="103">
        <f t="shared" si="9"/>
        <v>0.84324323172416937</v>
      </c>
    </row>
    <row r="63" spans="2:24" s="100" customFormat="1">
      <c r="B63" s="158" t="s">
        <v>60</v>
      </c>
      <c r="C63" s="271">
        <v>95.693699999999922</v>
      </c>
      <c r="D63" s="183">
        <v>5523.6220351950797</v>
      </c>
      <c r="E63" s="183">
        <v>5523.6220351950797</v>
      </c>
      <c r="F63" s="180">
        <v>1432</v>
      </c>
      <c r="G63" s="284">
        <f t="shared" si="0"/>
        <v>6.6825209497206647E-2</v>
      </c>
      <c r="H63" s="272">
        <v>36524</v>
      </c>
      <c r="I63" s="183">
        <f>109813+450127</f>
        <v>559940</v>
      </c>
      <c r="J63" s="183">
        <v>499151</v>
      </c>
      <c r="K63" s="180">
        <v>145867</v>
      </c>
      <c r="L63" s="129">
        <f t="shared" si="1"/>
        <v>0.25039248082157034</v>
      </c>
      <c r="M63" s="304">
        <f t="shared" si="7"/>
        <v>517532.25702085847</v>
      </c>
      <c r="N63" s="102">
        <v>243753.98999999996</v>
      </c>
      <c r="O63" s="102">
        <v>273778.26702085853</v>
      </c>
      <c r="P63" s="99">
        <v>1918661.94</v>
      </c>
      <c r="Q63" s="102">
        <v>1250723.49</v>
      </c>
      <c r="R63" s="103">
        <f t="shared" si="8"/>
        <v>0.41378630941109013</v>
      </c>
      <c r="S63" s="101">
        <f t="shared" si="3"/>
        <v>38058.278043836835</v>
      </c>
      <c r="T63" s="102">
        <v>9938.69</v>
      </c>
      <c r="U63" s="102">
        <v>28119.588043836833</v>
      </c>
      <c r="V63" s="99">
        <v>138912.87</v>
      </c>
      <c r="W63" s="102">
        <v>61955.75</v>
      </c>
      <c r="X63" s="103">
        <f t="shared" si="9"/>
        <v>0.61428161298728268</v>
      </c>
    </row>
    <row r="64" spans="2:24" s="100" customFormat="1">
      <c r="B64" s="158" t="s">
        <v>61</v>
      </c>
      <c r="C64" s="271">
        <v>75</v>
      </c>
      <c r="D64" s="183">
        <v>1886.02807694591</v>
      </c>
      <c r="E64" s="183">
        <v>1886.02807694591</v>
      </c>
      <c r="F64" s="180">
        <v>2360</v>
      </c>
      <c r="G64" s="284">
        <f t="shared" si="0"/>
        <v>3.1779661016949151E-2</v>
      </c>
      <c r="H64" s="272">
        <v>0</v>
      </c>
      <c r="I64" s="183">
        <v>0</v>
      </c>
      <c r="J64" s="183">
        <v>0</v>
      </c>
      <c r="K64" s="180">
        <v>0</v>
      </c>
      <c r="L64" s="129" t="str">
        <f t="shared" si="1"/>
        <v>NA</v>
      </c>
      <c r="M64" s="304">
        <f t="shared" si="7"/>
        <v>443384.81527220923</v>
      </c>
      <c r="N64" s="102">
        <v>49075.490000000005</v>
      </c>
      <c r="O64" s="102">
        <v>394309.32527220924</v>
      </c>
      <c r="P64" s="99">
        <v>2618220.83</v>
      </c>
      <c r="Q64" s="102">
        <v>4004434.3899999997</v>
      </c>
      <c r="R64" s="103">
        <f t="shared" si="8"/>
        <v>0.11072345607146014</v>
      </c>
      <c r="S64" s="101">
        <f t="shared" si="3"/>
        <v>0</v>
      </c>
      <c r="T64" s="102">
        <v>0</v>
      </c>
      <c r="U64" s="102">
        <v>0</v>
      </c>
      <c r="V64" s="99">
        <v>0</v>
      </c>
      <c r="W64" s="102">
        <v>0</v>
      </c>
      <c r="X64" s="103" t="str">
        <f t="shared" si="9"/>
        <v>NA</v>
      </c>
    </row>
    <row r="65" spans="2:24" s="100" customFormat="1">
      <c r="B65" s="158" t="s">
        <v>62</v>
      </c>
      <c r="C65" s="271">
        <v>22</v>
      </c>
      <c r="D65" s="183">
        <v>996.337012838752</v>
      </c>
      <c r="E65" s="183">
        <v>996.337012838752</v>
      </c>
      <c r="F65" s="180">
        <v>316</v>
      </c>
      <c r="G65" s="284">
        <f t="shared" si="0"/>
        <v>6.9620253164556958E-2</v>
      </c>
      <c r="H65" s="272">
        <v>35030.952218430029</v>
      </c>
      <c r="I65" s="183">
        <v>42392</v>
      </c>
      <c r="J65" s="183">
        <v>44435</v>
      </c>
      <c r="K65" s="180">
        <v>43900</v>
      </c>
      <c r="L65" s="129">
        <f t="shared" si="1"/>
        <v>0.79797157672961339</v>
      </c>
      <c r="M65" s="304">
        <f t="shared" si="7"/>
        <v>987722.95428302919</v>
      </c>
      <c r="N65" s="102">
        <v>463465.29000000004</v>
      </c>
      <c r="O65" s="102">
        <v>524257.66428302915</v>
      </c>
      <c r="P65" s="99">
        <v>1089672.93</v>
      </c>
      <c r="Q65" s="102">
        <v>1712573.67</v>
      </c>
      <c r="R65" s="103">
        <f t="shared" si="8"/>
        <v>0.57674771695107818</v>
      </c>
      <c r="S65" s="101">
        <f t="shared" si="3"/>
        <v>241239.96014478011</v>
      </c>
      <c r="T65" s="102">
        <v>155025.22</v>
      </c>
      <c r="U65" s="102">
        <v>86214.740144780109</v>
      </c>
      <c r="V65" s="99">
        <v>167165.18</v>
      </c>
      <c r="W65" s="102">
        <v>483882.99</v>
      </c>
      <c r="X65" s="103">
        <f t="shared" si="9"/>
        <v>0.49855019732100958</v>
      </c>
    </row>
    <row r="66" spans="2:24" s="100" customFormat="1">
      <c r="B66" s="158" t="s">
        <v>63</v>
      </c>
      <c r="C66" s="271">
        <v>0</v>
      </c>
      <c r="D66" s="183">
        <v>0</v>
      </c>
      <c r="E66" s="183">
        <v>0</v>
      </c>
      <c r="F66" s="180">
        <v>337</v>
      </c>
      <c r="G66" s="284">
        <f t="shared" si="0"/>
        <v>0</v>
      </c>
      <c r="H66" s="272">
        <v>0</v>
      </c>
      <c r="I66" s="183">
        <v>0</v>
      </c>
      <c r="J66" s="183">
        <v>0</v>
      </c>
      <c r="K66" s="180">
        <v>3473</v>
      </c>
      <c r="L66" s="129">
        <f t="shared" si="1"/>
        <v>0</v>
      </c>
      <c r="M66" s="304">
        <f t="shared" si="7"/>
        <v>483596.48090730573</v>
      </c>
      <c r="N66" s="102">
        <v>26232.54</v>
      </c>
      <c r="O66" s="102">
        <v>457363.94090730575</v>
      </c>
      <c r="P66" s="99">
        <v>0</v>
      </c>
      <c r="Q66" s="102">
        <v>949991.74</v>
      </c>
      <c r="R66" s="103">
        <f t="shared" si="8"/>
        <v>0.50905335335579416</v>
      </c>
      <c r="S66" s="101">
        <f t="shared" si="3"/>
        <v>64277.021920000007</v>
      </c>
      <c r="T66" s="102">
        <v>3218.71</v>
      </c>
      <c r="U66" s="102">
        <v>61058.311920000007</v>
      </c>
      <c r="V66" s="99">
        <v>0</v>
      </c>
      <c r="W66" s="102">
        <v>71464.81</v>
      </c>
      <c r="X66" s="103">
        <f t="shared" si="9"/>
        <v>0.8994219941255005</v>
      </c>
    </row>
    <row r="67" spans="2:24" s="100" customFormat="1">
      <c r="B67" s="158"/>
      <c r="C67" s="271"/>
      <c r="D67" s="180"/>
      <c r="E67" s="180"/>
      <c r="F67" s="180"/>
      <c r="G67" s="284"/>
      <c r="H67" s="272"/>
      <c r="I67" s="180"/>
      <c r="J67" s="180"/>
      <c r="K67" s="180"/>
      <c r="L67" s="129"/>
      <c r="M67" s="304"/>
      <c r="N67" s="102"/>
      <c r="O67" s="102"/>
      <c r="P67" s="102"/>
      <c r="Q67" s="102"/>
      <c r="R67" s="103"/>
      <c r="S67" s="101"/>
      <c r="T67" s="102"/>
      <c r="U67" s="102"/>
      <c r="V67" s="102"/>
      <c r="W67" s="102"/>
      <c r="X67" s="103"/>
    </row>
    <row r="68" spans="2:24" s="96" customFormat="1" ht="15.75" customHeight="1">
      <c r="B68" s="159" t="s">
        <v>64</v>
      </c>
      <c r="C68" s="273">
        <f>SUM(C55:C67)</f>
        <v>65655.895401999995</v>
      </c>
      <c r="D68" s="274">
        <f>SUM(D55:D67)</f>
        <v>78544.369525354516</v>
      </c>
      <c r="E68" s="274">
        <f t="shared" ref="E68:F68" si="19">SUM(E55:E67)</f>
        <v>78544.369525354516</v>
      </c>
      <c r="F68" s="274">
        <f t="shared" si="19"/>
        <v>111736</v>
      </c>
      <c r="G68" s="275">
        <f t="shared" si="0"/>
        <v>0.58759840518722695</v>
      </c>
      <c r="H68" s="273">
        <f>SUM(H55:H67)</f>
        <v>828187.31733788387</v>
      </c>
      <c r="I68" s="274">
        <f>SUM(I55:I67)</f>
        <v>1764385.1254965705</v>
      </c>
      <c r="J68" s="274">
        <f t="shared" ref="J68:K68" si="20">SUM(J55:J67)</f>
        <v>1669996</v>
      </c>
      <c r="K68" s="274">
        <f t="shared" si="20"/>
        <v>1573958</v>
      </c>
      <c r="L68" s="126">
        <f t="shared" ref="L68" si="21">IF(K68=0,"NA",H68/K68)</f>
        <v>0.5261813322451323</v>
      </c>
      <c r="M68" s="305">
        <f>SUM(N68:O68)</f>
        <v>30003589.812915765</v>
      </c>
      <c r="N68" s="21">
        <f>SUM(N55:N67)</f>
        <v>16818167.874199998</v>
      </c>
      <c r="O68" s="21">
        <f t="shared" ref="O68:Q68" si="22">SUM(O55:O67)</f>
        <v>13185421.938715767</v>
      </c>
      <c r="P68" s="21">
        <f t="shared" si="22"/>
        <v>31434451.280000001</v>
      </c>
      <c r="Q68" s="21">
        <f t="shared" si="22"/>
        <v>46425240.74000001</v>
      </c>
      <c r="R68" s="13">
        <f t="shared" si="8"/>
        <v>0.64627752779889536</v>
      </c>
      <c r="S68" s="19">
        <f t="shared" si="3"/>
        <v>4604829.6895273607</v>
      </c>
      <c r="T68" s="21">
        <f>SUM(T55:T67)</f>
        <v>2745661.6386000002</v>
      </c>
      <c r="U68" s="21">
        <f t="shared" ref="U68:W68" si="23">SUM(U55:U67)</f>
        <v>1859168.0509273601</v>
      </c>
      <c r="V68" s="21">
        <f t="shared" si="23"/>
        <v>7030650.5899999999</v>
      </c>
      <c r="W68" s="21">
        <f t="shared" si="23"/>
        <v>6622355.4500000011</v>
      </c>
      <c r="X68" s="13">
        <f t="shared" si="9"/>
        <v>0.69534619884037785</v>
      </c>
    </row>
    <row r="69" spans="2:24" s="96" customFormat="1" ht="15.6" customHeight="1">
      <c r="B69" s="161" t="s">
        <v>65</v>
      </c>
      <c r="C69" s="279"/>
      <c r="D69" s="280"/>
      <c r="E69" s="280"/>
      <c r="F69" s="280"/>
      <c r="G69" s="281"/>
      <c r="H69" s="282"/>
      <c r="I69" s="283"/>
      <c r="J69" s="280"/>
      <c r="K69" s="280"/>
      <c r="L69" s="128"/>
      <c r="M69" s="117"/>
      <c r="N69" s="118"/>
      <c r="O69" s="118"/>
      <c r="P69" s="118"/>
      <c r="Q69" s="118"/>
      <c r="R69" s="116"/>
      <c r="S69" s="117"/>
      <c r="T69" s="118"/>
      <c r="U69" s="118"/>
      <c r="V69" s="118"/>
      <c r="W69" s="118"/>
      <c r="X69" s="116"/>
    </row>
    <row r="70" spans="2:24" s="106" customFormat="1">
      <c r="B70" s="261" t="s">
        <v>66</v>
      </c>
      <c r="C70" s="285">
        <f t="shared" ref="C70:P70" si="24">C26</f>
        <v>14374</v>
      </c>
      <c r="D70" s="286">
        <f>D26</f>
        <v>19631.8728661569</v>
      </c>
      <c r="E70" s="286">
        <v>19631.8728661569</v>
      </c>
      <c r="F70" s="286">
        <f t="shared" si="24"/>
        <v>24456</v>
      </c>
      <c r="G70" s="284">
        <f t="shared" si="24"/>
        <v>0.58774942754334314</v>
      </c>
      <c r="H70" s="285">
        <f t="shared" si="24"/>
        <v>0</v>
      </c>
      <c r="I70" s="286">
        <f t="shared" si="24"/>
        <v>0</v>
      </c>
      <c r="J70" s="286">
        <f t="shared" si="24"/>
        <v>0</v>
      </c>
      <c r="K70" s="286">
        <f t="shared" si="24"/>
        <v>0</v>
      </c>
      <c r="L70" s="259" t="str">
        <f t="shared" si="24"/>
        <v>NA</v>
      </c>
      <c r="M70" s="260">
        <f t="shared" si="24"/>
        <v>2916542.1596539421</v>
      </c>
      <c r="N70" s="105">
        <f t="shared" si="24"/>
        <v>1895346.4</v>
      </c>
      <c r="O70" s="105">
        <f t="shared" si="24"/>
        <v>1021195.7596539424</v>
      </c>
      <c r="P70" s="105">
        <f t="shared" si="24"/>
        <v>3062572.17</v>
      </c>
      <c r="Q70" s="105">
        <f>Q36</f>
        <v>38962521.909999996</v>
      </c>
      <c r="R70" s="104">
        <f t="shared" ref="R70:X71" si="25">R26</f>
        <v>0.73256257937559799</v>
      </c>
      <c r="S70" s="260">
        <f t="shared" si="25"/>
        <v>0</v>
      </c>
      <c r="T70" s="105">
        <f t="shared" si="25"/>
        <v>0</v>
      </c>
      <c r="U70" s="105">
        <f t="shared" si="25"/>
        <v>0</v>
      </c>
      <c r="V70" s="105">
        <f t="shared" si="25"/>
        <v>0</v>
      </c>
      <c r="W70" s="105">
        <f t="shared" si="25"/>
        <v>0</v>
      </c>
      <c r="X70" s="104" t="str">
        <f t="shared" si="25"/>
        <v>NA</v>
      </c>
    </row>
    <row r="71" spans="2:24" s="106" customFormat="1">
      <c r="B71" s="261" t="s">
        <v>67</v>
      </c>
      <c r="C71" s="285">
        <f t="shared" ref="C71:P71" si="26">C27</f>
        <v>173</v>
      </c>
      <c r="D71" s="286">
        <f t="shared" si="26"/>
        <v>1179.24094850397</v>
      </c>
      <c r="E71" s="286">
        <v>1179.24094850397</v>
      </c>
      <c r="F71" s="286">
        <f t="shared" si="26"/>
        <v>395.00000000000006</v>
      </c>
      <c r="G71" s="284">
        <f t="shared" si="26"/>
        <v>0.43797468354430374</v>
      </c>
      <c r="H71" s="285">
        <f t="shared" si="26"/>
        <v>5006</v>
      </c>
      <c r="I71" s="286">
        <f t="shared" si="26"/>
        <v>20947</v>
      </c>
      <c r="J71" s="286">
        <f t="shared" si="26"/>
        <v>24421</v>
      </c>
      <c r="K71" s="286">
        <f t="shared" si="26"/>
        <v>15298</v>
      </c>
      <c r="L71" s="259">
        <f t="shared" si="26"/>
        <v>0.3272323179500588</v>
      </c>
      <c r="M71" s="260">
        <f t="shared" si="26"/>
        <v>481250.76689728803</v>
      </c>
      <c r="N71" s="105">
        <f t="shared" si="26"/>
        <v>126116.26999999999</v>
      </c>
      <c r="O71" s="105">
        <f t="shared" si="26"/>
        <v>355134.49689728807</v>
      </c>
      <c r="P71" s="105">
        <f t="shared" si="26"/>
        <v>2564918.4</v>
      </c>
      <c r="Q71" s="105">
        <f>Q37</f>
        <v>8730042</v>
      </c>
      <c r="R71" s="104">
        <f t="shared" si="25"/>
        <v>0.61088474273743998</v>
      </c>
      <c r="S71" s="260">
        <f t="shared" si="25"/>
        <v>69400.943556589598</v>
      </c>
      <c r="T71" s="105">
        <f t="shared" si="25"/>
        <v>2700</v>
      </c>
      <c r="U71" s="105">
        <f t="shared" si="25"/>
        <v>66700.943556589598</v>
      </c>
      <c r="V71" s="105">
        <f t="shared" si="25"/>
        <v>187371.08</v>
      </c>
      <c r="W71" s="105">
        <f t="shared" si="25"/>
        <v>92582.19</v>
      </c>
      <c r="X71" s="104">
        <f t="shared" si="25"/>
        <v>0.7496144080906878</v>
      </c>
    </row>
    <row r="72" spans="2:24" s="106" customFormat="1">
      <c r="B72" s="261" t="s">
        <v>68</v>
      </c>
      <c r="C72" s="285">
        <f t="shared" ref="C72:X72" si="27">C40</f>
        <v>5370</v>
      </c>
      <c r="D72" s="286">
        <f t="shared" si="27"/>
        <v>3833.9617706385102</v>
      </c>
      <c r="E72" s="286">
        <v>3833.9617706385102</v>
      </c>
      <c r="F72" s="286">
        <f t="shared" si="27"/>
        <v>7330</v>
      </c>
      <c r="G72" s="284">
        <f t="shared" si="27"/>
        <v>0.73260572987721695</v>
      </c>
      <c r="H72" s="285">
        <f t="shared" si="27"/>
        <v>283758</v>
      </c>
      <c r="I72" s="286">
        <f t="shared" si="27"/>
        <v>0</v>
      </c>
      <c r="J72" s="286">
        <f t="shared" si="27"/>
        <v>0</v>
      </c>
      <c r="K72" s="286">
        <f t="shared" si="27"/>
        <v>152414</v>
      </c>
      <c r="L72" s="259">
        <f t="shared" si="27"/>
        <v>1.8617581062107156</v>
      </c>
      <c r="M72" s="260">
        <f t="shared" si="27"/>
        <v>3352336.0284686461</v>
      </c>
      <c r="N72" s="105">
        <f t="shared" si="27"/>
        <v>2367917.5</v>
      </c>
      <c r="O72" s="105">
        <f t="shared" si="27"/>
        <v>984418.52846864634</v>
      </c>
      <c r="P72" s="105">
        <f t="shared" si="27"/>
        <v>2080567.73</v>
      </c>
      <c r="Q72" s="105">
        <f t="shared" si="27"/>
        <v>3615972.34</v>
      </c>
      <c r="R72" s="104">
        <f t="shared" si="27"/>
        <v>0.9270911703015533</v>
      </c>
      <c r="S72" s="260">
        <f t="shared" si="27"/>
        <v>608847.20671935962</v>
      </c>
      <c r="T72" s="105">
        <f t="shared" si="27"/>
        <v>563107.5</v>
      </c>
      <c r="U72" s="105">
        <f t="shared" si="27"/>
        <v>45739.706719359616</v>
      </c>
      <c r="V72" s="105">
        <f t="shared" si="27"/>
        <v>0</v>
      </c>
      <c r="W72" s="105">
        <f t="shared" si="27"/>
        <v>349519.51</v>
      </c>
      <c r="X72" s="104">
        <f t="shared" si="27"/>
        <v>1.7419548531621585</v>
      </c>
    </row>
    <row r="73" spans="2:24" s="106" customFormat="1">
      <c r="B73" s="261" t="str">
        <f>B44</f>
        <v>DDEP - School Kits</v>
      </c>
      <c r="C73" s="285">
        <f>C44</f>
        <v>5000</v>
      </c>
      <c r="D73" s="286">
        <f>D44</f>
        <v>2318.0610899407102</v>
      </c>
      <c r="E73" s="286">
        <v>2318.0610899407102</v>
      </c>
      <c r="F73" s="286">
        <f>F44</f>
        <v>4441</v>
      </c>
      <c r="G73" s="284">
        <f t="shared" si="0"/>
        <v>1.125872551227201</v>
      </c>
      <c r="H73" s="285">
        <f>H44</f>
        <v>161562</v>
      </c>
      <c r="I73" s="286">
        <f>I44</f>
        <v>51962</v>
      </c>
      <c r="J73" s="286">
        <f>J44</f>
        <v>75635</v>
      </c>
      <c r="K73" s="286">
        <f>K44</f>
        <v>105400</v>
      </c>
      <c r="L73" s="259">
        <f t="shared" ref="L73:L78" si="28">IF(K73=0,"NA",H73/K73)</f>
        <v>1.5328462998102468</v>
      </c>
      <c r="M73" s="260">
        <f>M44</f>
        <v>529485.40593819623</v>
      </c>
      <c r="N73" s="105">
        <f>N44</f>
        <v>288848.94999999995</v>
      </c>
      <c r="O73" s="105">
        <f>O44</f>
        <v>240636.4559381963</v>
      </c>
      <c r="P73" s="105">
        <f>P44</f>
        <v>870396.95</v>
      </c>
      <c r="Q73" s="105">
        <f>Q44</f>
        <v>765807.01</v>
      </c>
      <c r="R73" s="104">
        <f t="shared" si="8"/>
        <v>0.69140840841636619</v>
      </c>
      <c r="S73" s="260">
        <f>S44</f>
        <v>105006.91177298542</v>
      </c>
      <c r="T73" s="105">
        <f>T44</f>
        <v>72321.87</v>
      </c>
      <c r="U73" s="105">
        <f>U44</f>
        <v>32685.041772985431</v>
      </c>
      <c r="V73" s="105">
        <f>V44</f>
        <v>117205.88</v>
      </c>
      <c r="W73" s="105">
        <f>W44</f>
        <v>130936.51999999999</v>
      </c>
      <c r="X73" s="104">
        <f t="shared" ref="X73:X78" si="29">IF(W73=0,"NA",(S73/W73))</f>
        <v>0.80196809700597993</v>
      </c>
    </row>
    <row r="74" spans="2:24" s="106" customFormat="1">
      <c r="B74" s="261" t="str">
        <f>B62</f>
        <v>IQ - Community Kits</v>
      </c>
      <c r="C74" s="285">
        <f>C62</f>
        <v>2383</v>
      </c>
      <c r="D74" s="286">
        <f t="shared" ref="D74:W74" si="30">D62</f>
        <v>1266.81790043157</v>
      </c>
      <c r="E74" s="286">
        <v>1266.81790043157</v>
      </c>
      <c r="F74" s="286">
        <f t="shared" si="30"/>
        <v>2368</v>
      </c>
      <c r="G74" s="284">
        <f t="shared" si="0"/>
        <v>1.0063344594594594</v>
      </c>
      <c r="H74" s="285">
        <f t="shared" si="30"/>
        <v>39058</v>
      </c>
      <c r="I74" s="286">
        <f t="shared" si="30"/>
        <v>33719.125496570567</v>
      </c>
      <c r="J74" s="286">
        <f t="shared" si="30"/>
        <v>31207</v>
      </c>
      <c r="K74" s="286">
        <f t="shared" si="30"/>
        <v>54500</v>
      </c>
      <c r="L74" s="259">
        <f t="shared" si="28"/>
        <v>0.71666055045871557</v>
      </c>
      <c r="M74" s="260">
        <f t="shared" si="30"/>
        <v>473239.28091880499</v>
      </c>
      <c r="N74" s="105">
        <f t="shared" si="30"/>
        <v>86382.61</v>
      </c>
      <c r="O74" s="105">
        <f t="shared" si="30"/>
        <v>386856.670918805</v>
      </c>
      <c r="P74" s="105">
        <f t="shared" si="30"/>
        <v>639790.18000000005</v>
      </c>
      <c r="Q74" s="105">
        <f t="shared" si="30"/>
        <v>500647.28</v>
      </c>
      <c r="R74" s="104">
        <f t="shared" si="8"/>
        <v>0.94525487268962083</v>
      </c>
      <c r="S74" s="260">
        <f t="shared" si="30"/>
        <v>96929.249486714572</v>
      </c>
      <c r="T74" s="105">
        <f t="shared" si="30"/>
        <v>43628.539999999994</v>
      </c>
      <c r="U74" s="105">
        <f t="shared" si="30"/>
        <v>53300.709486714572</v>
      </c>
      <c r="V74" s="105">
        <f t="shared" si="30"/>
        <v>59927.18</v>
      </c>
      <c r="W74" s="105">
        <f t="shared" si="30"/>
        <v>114948.15</v>
      </c>
      <c r="X74" s="104">
        <f t="shared" si="29"/>
        <v>0.84324323172416937</v>
      </c>
    </row>
    <row r="75" spans="2:24" s="106" customFormat="1">
      <c r="B75" s="261" t="str">
        <f>B63</f>
        <v>IQ - Smart Savers</v>
      </c>
      <c r="C75" s="285">
        <f>C63</f>
        <v>95.693699999999922</v>
      </c>
      <c r="D75" s="286">
        <f t="shared" ref="D75:W75" si="31">D63</f>
        <v>5523.6220351950797</v>
      </c>
      <c r="E75" s="286">
        <v>5523.6220351950797</v>
      </c>
      <c r="F75" s="286">
        <f t="shared" si="31"/>
        <v>1432</v>
      </c>
      <c r="G75" s="284">
        <f t="shared" si="0"/>
        <v>6.6825209497206647E-2</v>
      </c>
      <c r="H75" s="285">
        <f t="shared" si="31"/>
        <v>36524</v>
      </c>
      <c r="I75" s="286">
        <f t="shared" si="31"/>
        <v>559940</v>
      </c>
      <c r="J75" s="286">
        <f t="shared" si="31"/>
        <v>499151</v>
      </c>
      <c r="K75" s="286">
        <f t="shared" si="31"/>
        <v>145867</v>
      </c>
      <c r="L75" s="259">
        <f t="shared" si="28"/>
        <v>0.25039248082157034</v>
      </c>
      <c r="M75" s="260">
        <f t="shared" si="31"/>
        <v>517532.25702085847</v>
      </c>
      <c r="N75" s="105">
        <f t="shared" si="31"/>
        <v>243753.98999999996</v>
      </c>
      <c r="O75" s="105">
        <f t="shared" si="31"/>
        <v>273778.26702085853</v>
      </c>
      <c r="P75" s="105">
        <f t="shared" si="31"/>
        <v>1918661.94</v>
      </c>
      <c r="Q75" s="105">
        <f t="shared" si="31"/>
        <v>1250723.49</v>
      </c>
      <c r="R75" s="104">
        <f t="shared" si="8"/>
        <v>0.41378630941109013</v>
      </c>
      <c r="S75" s="260">
        <f t="shared" si="31"/>
        <v>38058.278043836835</v>
      </c>
      <c r="T75" s="105">
        <f t="shared" si="31"/>
        <v>9938.69</v>
      </c>
      <c r="U75" s="105">
        <f t="shared" si="31"/>
        <v>28119.588043836833</v>
      </c>
      <c r="V75" s="105">
        <f t="shared" si="31"/>
        <v>138912.87</v>
      </c>
      <c r="W75" s="105">
        <f t="shared" si="31"/>
        <v>61955.75</v>
      </c>
      <c r="X75" s="104">
        <f t="shared" si="29"/>
        <v>0.61428161298728268</v>
      </c>
    </row>
    <row r="76" spans="2:24" s="106" customFormat="1">
      <c r="B76" s="261" t="str">
        <f>B65</f>
        <v>IQ - Manufactured Homes</v>
      </c>
      <c r="C76" s="285">
        <f>C65</f>
        <v>22</v>
      </c>
      <c r="D76" s="286">
        <f t="shared" ref="D76:W76" si="32">D65</f>
        <v>996.337012838752</v>
      </c>
      <c r="E76" s="286">
        <v>996.337012838752</v>
      </c>
      <c r="F76" s="286">
        <f t="shared" si="32"/>
        <v>316</v>
      </c>
      <c r="G76" s="284">
        <f t="shared" si="0"/>
        <v>6.9620253164556958E-2</v>
      </c>
      <c r="H76" s="285">
        <f t="shared" si="32"/>
        <v>35030.952218430029</v>
      </c>
      <c r="I76" s="286">
        <f t="shared" si="32"/>
        <v>42392</v>
      </c>
      <c r="J76" s="286">
        <f t="shared" si="32"/>
        <v>44435</v>
      </c>
      <c r="K76" s="286">
        <f t="shared" si="32"/>
        <v>43900</v>
      </c>
      <c r="L76" s="259">
        <f t="shared" si="28"/>
        <v>0.79797157672961339</v>
      </c>
      <c r="M76" s="260">
        <f t="shared" si="32"/>
        <v>987722.95428302919</v>
      </c>
      <c r="N76" s="105">
        <f t="shared" si="32"/>
        <v>463465.29000000004</v>
      </c>
      <c r="O76" s="105">
        <f t="shared" si="32"/>
        <v>524257.66428302915</v>
      </c>
      <c r="P76" s="105">
        <f t="shared" si="32"/>
        <v>1089672.93</v>
      </c>
      <c r="Q76" s="105">
        <f t="shared" si="32"/>
        <v>1712573.67</v>
      </c>
      <c r="R76" s="104">
        <f t="shared" si="8"/>
        <v>0.57674771695107818</v>
      </c>
      <c r="S76" s="260">
        <f t="shared" si="32"/>
        <v>241239.96014478011</v>
      </c>
      <c r="T76" s="105">
        <f t="shared" si="32"/>
        <v>155025.22</v>
      </c>
      <c r="U76" s="105">
        <f t="shared" si="32"/>
        <v>86214.740144780109</v>
      </c>
      <c r="V76" s="105">
        <f t="shared" si="32"/>
        <v>167165.18</v>
      </c>
      <c r="W76" s="105">
        <f t="shared" si="32"/>
        <v>483882.99</v>
      </c>
      <c r="X76" s="104">
        <f t="shared" si="29"/>
        <v>0.49855019732100958</v>
      </c>
    </row>
    <row r="77" spans="2:24" s="106" customFormat="1">
      <c r="B77" s="261" t="str">
        <f>B66</f>
        <v>IQ - Healthier Homes</v>
      </c>
      <c r="C77" s="285">
        <f>C66</f>
        <v>0</v>
      </c>
      <c r="D77" s="286">
        <f t="shared" ref="D77:W77" si="33">D66</f>
        <v>0</v>
      </c>
      <c r="E77" s="286">
        <v>0</v>
      </c>
      <c r="F77" s="286">
        <f t="shared" si="33"/>
        <v>337</v>
      </c>
      <c r="G77" s="284">
        <f t="shared" si="0"/>
        <v>0</v>
      </c>
      <c r="H77" s="285">
        <f t="shared" si="33"/>
        <v>0</v>
      </c>
      <c r="I77" s="286">
        <f t="shared" si="33"/>
        <v>0</v>
      </c>
      <c r="J77" s="286">
        <f t="shared" si="33"/>
        <v>0</v>
      </c>
      <c r="K77" s="286">
        <f t="shared" si="33"/>
        <v>3473</v>
      </c>
      <c r="L77" s="259">
        <f t="shared" si="28"/>
        <v>0</v>
      </c>
      <c r="M77" s="260">
        <f t="shared" si="33"/>
        <v>483596.48090730573</v>
      </c>
      <c r="N77" s="105">
        <f t="shared" si="33"/>
        <v>26232.54</v>
      </c>
      <c r="O77" s="105">
        <f t="shared" si="33"/>
        <v>457363.94090730575</v>
      </c>
      <c r="P77" s="105">
        <f t="shared" si="33"/>
        <v>0</v>
      </c>
      <c r="Q77" s="105">
        <f t="shared" si="33"/>
        <v>949991.74</v>
      </c>
      <c r="R77" s="104">
        <f t="shared" si="8"/>
        <v>0.50905335335579416</v>
      </c>
      <c r="S77" s="260">
        <f t="shared" si="33"/>
        <v>64277.021920000007</v>
      </c>
      <c r="T77" s="105">
        <f t="shared" si="33"/>
        <v>3218.71</v>
      </c>
      <c r="U77" s="105">
        <f t="shared" si="33"/>
        <v>61058.311920000007</v>
      </c>
      <c r="V77" s="105">
        <f t="shared" si="33"/>
        <v>0</v>
      </c>
      <c r="W77" s="105">
        <f t="shared" si="33"/>
        <v>71464.81</v>
      </c>
      <c r="X77" s="104">
        <f t="shared" si="29"/>
        <v>0.8994219941255005</v>
      </c>
    </row>
    <row r="78" spans="2:24" s="106" customFormat="1">
      <c r="B78" s="261" t="s">
        <v>44</v>
      </c>
      <c r="C78" s="285">
        <f>C45</f>
        <v>643</v>
      </c>
      <c r="D78" s="286">
        <f>D45</f>
        <v>751.87800000000004</v>
      </c>
      <c r="E78" s="286">
        <v>751.87800000000004</v>
      </c>
      <c r="F78" s="286">
        <f>F45</f>
        <v>713</v>
      </c>
      <c r="G78" s="284">
        <f t="shared" si="0"/>
        <v>0.90182328190743333</v>
      </c>
      <c r="H78" s="285">
        <f>H45</f>
        <v>19791</v>
      </c>
      <c r="I78" s="286">
        <f>I45</f>
        <v>0</v>
      </c>
      <c r="J78" s="286">
        <f>J45</f>
        <v>0</v>
      </c>
      <c r="K78" s="286">
        <f>K45</f>
        <v>17550</v>
      </c>
      <c r="L78" s="259">
        <f t="shared" si="28"/>
        <v>1.1276923076923078</v>
      </c>
      <c r="M78" s="260">
        <f>M45</f>
        <v>111810.87504680498</v>
      </c>
      <c r="N78" s="105">
        <f>N45</f>
        <v>50085.739999999991</v>
      </c>
      <c r="O78" s="105">
        <f>O45</f>
        <v>61725.135046805</v>
      </c>
      <c r="P78" s="105">
        <f>P45</f>
        <v>225563.4</v>
      </c>
      <c r="Q78" s="105">
        <f>Q45</f>
        <v>191955.78</v>
      </c>
      <c r="R78" s="104">
        <f t="shared" si="8"/>
        <v>0.58248246052713282</v>
      </c>
      <c r="S78" s="260">
        <f>S45</f>
        <v>17777.10318677</v>
      </c>
      <c r="T78" s="105">
        <f>T45</f>
        <v>9469.26</v>
      </c>
      <c r="U78" s="105">
        <f>U45</f>
        <v>8307.8431867699983</v>
      </c>
      <c r="V78" s="105">
        <f>V45</f>
        <v>221554.63</v>
      </c>
      <c r="W78" s="105">
        <f>W45</f>
        <v>30862.09</v>
      </c>
      <c r="X78" s="104">
        <f t="shared" si="29"/>
        <v>0.57601747602868114</v>
      </c>
    </row>
    <row r="79" spans="2:24" s="106" customFormat="1">
      <c r="B79" s="266" t="s">
        <v>69</v>
      </c>
      <c r="C79" s="271">
        <v>0</v>
      </c>
      <c r="D79" s="286">
        <v>228</v>
      </c>
      <c r="E79" s="286">
        <v>228</v>
      </c>
      <c r="F79" s="286">
        <v>0</v>
      </c>
      <c r="G79" s="287" t="s">
        <v>70</v>
      </c>
      <c r="H79" s="288">
        <v>0</v>
      </c>
      <c r="I79" s="286">
        <v>640</v>
      </c>
      <c r="J79" s="286">
        <v>960</v>
      </c>
      <c r="K79" s="286">
        <v>0</v>
      </c>
      <c r="L79" s="262" t="s">
        <v>70</v>
      </c>
      <c r="M79" s="263">
        <v>0</v>
      </c>
      <c r="N79" s="264">
        <v>0</v>
      </c>
      <c r="O79" s="264">
        <v>0</v>
      </c>
      <c r="P79" s="264">
        <v>30000</v>
      </c>
      <c r="Q79" s="264">
        <v>0</v>
      </c>
      <c r="R79" s="262" t="str">
        <f t="shared" si="8"/>
        <v>NA</v>
      </c>
      <c r="S79" s="265">
        <v>0</v>
      </c>
      <c r="T79" s="264">
        <v>0</v>
      </c>
      <c r="U79" s="264">
        <v>0</v>
      </c>
      <c r="V79" s="264">
        <v>1046.68</v>
      </c>
      <c r="W79" s="264">
        <v>0</v>
      </c>
      <c r="X79" s="262" t="s">
        <v>70</v>
      </c>
    </row>
    <row r="80" spans="2:24" s="106" customFormat="1">
      <c r="B80" s="158" t="s">
        <v>71</v>
      </c>
      <c r="C80" s="289">
        <v>0</v>
      </c>
      <c r="D80" s="286">
        <v>604</v>
      </c>
      <c r="E80" s="286">
        <v>604</v>
      </c>
      <c r="F80" s="180">
        <v>0</v>
      </c>
      <c r="G80" s="287" t="str">
        <f t="shared" si="0"/>
        <v>NA</v>
      </c>
      <c r="H80" s="290">
        <v>0</v>
      </c>
      <c r="I80" s="286">
        <v>71625</v>
      </c>
      <c r="J80" s="286">
        <v>81770</v>
      </c>
      <c r="K80" s="180">
        <v>0</v>
      </c>
      <c r="L80" s="103" t="str">
        <f t="shared" ref="L80:L81" si="34">IF(K80=0,"NA",H80/K80)</f>
        <v>NA</v>
      </c>
      <c r="M80" s="258">
        <f t="shared" ref="M80:M81" si="35">SUM(N80:O80)</f>
        <v>0</v>
      </c>
      <c r="N80" s="102">
        <v>0</v>
      </c>
      <c r="O80" s="298">
        <v>0</v>
      </c>
      <c r="P80" s="298">
        <v>599074.74</v>
      </c>
      <c r="Q80" s="102">
        <v>0</v>
      </c>
      <c r="R80" s="103" t="str">
        <f t="shared" si="8"/>
        <v>NA</v>
      </c>
      <c r="S80" s="258">
        <f>SUM(T80:U80)</f>
        <v>0</v>
      </c>
      <c r="T80" s="102">
        <v>0</v>
      </c>
      <c r="U80" s="102">
        <v>0</v>
      </c>
      <c r="V80" s="298">
        <v>109263.64</v>
      </c>
      <c r="W80" s="102">
        <v>0</v>
      </c>
      <c r="X80" s="103" t="str">
        <f t="shared" ref="X80:X81" si="36">IF(W80=0,"NA",T80/W80)</f>
        <v>NA</v>
      </c>
    </row>
    <row r="81" spans="2:24" s="106" customFormat="1">
      <c r="B81" s="158" t="s">
        <v>72</v>
      </c>
      <c r="C81" s="289">
        <v>0</v>
      </c>
      <c r="D81" s="286">
        <v>112.07859999999999</v>
      </c>
      <c r="E81" s="286">
        <v>112.07859999999999</v>
      </c>
      <c r="F81" s="180">
        <v>0</v>
      </c>
      <c r="G81" s="287" t="str">
        <f t="shared" si="0"/>
        <v>NA</v>
      </c>
      <c r="H81" s="290">
        <v>0</v>
      </c>
      <c r="I81" s="286">
        <v>34595.004000000001</v>
      </c>
      <c r="J81" s="286">
        <v>30751</v>
      </c>
      <c r="K81" s="180">
        <v>0</v>
      </c>
      <c r="L81" s="103" t="str">
        <f t="shared" si="34"/>
        <v>NA</v>
      </c>
      <c r="M81" s="258">
        <f t="shared" si="35"/>
        <v>0</v>
      </c>
      <c r="N81" s="102">
        <v>0</v>
      </c>
      <c r="O81" s="298">
        <v>0</v>
      </c>
      <c r="P81" s="298">
        <v>57500</v>
      </c>
      <c r="Q81" s="102">
        <v>0</v>
      </c>
      <c r="R81" s="103" t="str">
        <f t="shared" si="8"/>
        <v>NA</v>
      </c>
      <c r="S81" s="258">
        <f>SUM(T81:U81)</f>
        <v>0</v>
      </c>
      <c r="T81" s="102">
        <v>0</v>
      </c>
      <c r="U81" s="102">
        <v>0</v>
      </c>
      <c r="V81" s="298">
        <v>0</v>
      </c>
      <c r="W81" s="102">
        <v>0</v>
      </c>
      <c r="X81" s="103" t="str">
        <f t="shared" si="36"/>
        <v>NA</v>
      </c>
    </row>
    <row r="82" spans="2:24" s="100" customFormat="1">
      <c r="B82" s="158"/>
      <c r="C82" s="289"/>
      <c r="D82" s="180"/>
      <c r="E82" s="180"/>
      <c r="F82" s="180"/>
      <c r="G82" s="287"/>
      <c r="H82" s="290"/>
      <c r="I82" s="180"/>
      <c r="J82" s="180"/>
      <c r="K82" s="180"/>
      <c r="L82" s="129"/>
      <c r="M82" s="101"/>
      <c r="N82" s="102"/>
      <c r="O82" s="102"/>
      <c r="P82" s="102"/>
      <c r="Q82" s="102"/>
      <c r="R82" s="103"/>
      <c r="S82" s="101"/>
      <c r="T82" s="102"/>
      <c r="U82" s="102"/>
      <c r="V82" s="102"/>
      <c r="W82" s="102"/>
      <c r="X82" s="103"/>
    </row>
    <row r="83" spans="2:24" s="96" customFormat="1">
      <c r="B83" s="159" t="s">
        <v>73</v>
      </c>
      <c r="C83" s="273">
        <f>SUM(C70:C82)</f>
        <v>28060.6937</v>
      </c>
      <c r="D83" s="274">
        <f>SUM(D70:D82)</f>
        <v>36445.870223705497</v>
      </c>
      <c r="E83" s="274">
        <f>SUM(E70:E82)</f>
        <v>36445.870223705497</v>
      </c>
      <c r="F83" s="274">
        <f>SUM(F70:F82)</f>
        <v>41788</v>
      </c>
      <c r="G83" s="275">
        <f t="shared" si="0"/>
        <v>0.6715012371972815</v>
      </c>
      <c r="H83" s="273">
        <f>SUM(H70:H82)</f>
        <v>580729.95221843</v>
      </c>
      <c r="I83" s="274">
        <f>SUM(I70:I82)</f>
        <v>815820.12949657056</v>
      </c>
      <c r="J83" s="274">
        <f>SUM(J70:J82)</f>
        <v>788330</v>
      </c>
      <c r="K83" s="274">
        <f>SUM(K70:K82)</f>
        <v>538402</v>
      </c>
      <c r="L83" s="130">
        <f t="shared" ref="L83" si="37">IF(K83=0,"NA",H83/K83)</f>
        <v>1.0786177469965379</v>
      </c>
      <c r="M83" s="123">
        <f t="shared" si="7"/>
        <v>9853516.2091348767</v>
      </c>
      <c r="N83" s="124">
        <f>SUM(N70:N82)</f>
        <v>5548149.290000001</v>
      </c>
      <c r="O83" s="124">
        <f>SUM(O70:O82)</f>
        <v>4305366.9191348767</v>
      </c>
      <c r="P83" s="124">
        <f>SUM(P70:P82)</f>
        <v>13138718.439999999</v>
      </c>
      <c r="Q83" s="124">
        <f>SUM(Q70:Q82)</f>
        <v>56680235.220000006</v>
      </c>
      <c r="R83" s="122">
        <f t="shared" si="8"/>
        <v>0.17384395408539161</v>
      </c>
      <c r="S83" s="123">
        <f t="shared" si="3"/>
        <v>1241536.674831036</v>
      </c>
      <c r="T83" s="124">
        <f>SUM(T70:T82)</f>
        <v>859409.78999999992</v>
      </c>
      <c r="U83" s="124">
        <f>SUM(U70:U82)</f>
        <v>382126.88483103609</v>
      </c>
      <c r="V83" s="124">
        <f>SUM(V70:V82)</f>
        <v>1002447.14</v>
      </c>
      <c r="W83" s="124">
        <f>SUM(W70:W82)</f>
        <v>1336152.01</v>
      </c>
      <c r="X83" s="122">
        <f t="shared" si="9"/>
        <v>0.92918819530948127</v>
      </c>
    </row>
    <row r="84" spans="2:24" s="96" customFormat="1">
      <c r="B84" s="162" t="s">
        <v>74</v>
      </c>
      <c r="C84" s="273">
        <v>41605.104597999998</v>
      </c>
      <c r="D84" s="274">
        <v>21841</v>
      </c>
      <c r="E84" s="274">
        <v>21841</v>
      </c>
      <c r="F84" s="274">
        <v>42428</v>
      </c>
      <c r="G84" s="275">
        <f t="shared" si="0"/>
        <v>0.98060489766192138</v>
      </c>
      <c r="H84" s="273">
        <f t="shared" ref="H84" si="38">-C84*1000/29.3</f>
        <v>-1419969.440204778</v>
      </c>
      <c r="I84" s="274">
        <v>-745436</v>
      </c>
      <c r="J84" s="274">
        <v>-602881</v>
      </c>
      <c r="K84" s="299">
        <v>-1448070.7133105802</v>
      </c>
      <c r="L84" s="131">
        <f t="shared" si="1"/>
        <v>0.98059399113075274</v>
      </c>
      <c r="M84" s="20">
        <f t="shared" si="7"/>
        <v>0</v>
      </c>
      <c r="N84" s="22"/>
      <c r="O84" s="22"/>
      <c r="P84" s="22"/>
      <c r="Q84" s="22"/>
      <c r="R84" s="15" t="str">
        <f t="shared" si="8"/>
        <v>NA</v>
      </c>
      <c r="S84" s="20">
        <f t="shared" si="3"/>
        <v>0</v>
      </c>
      <c r="T84" s="22"/>
      <c r="U84" s="22"/>
      <c r="V84" s="22"/>
      <c r="W84" s="22"/>
      <c r="X84" s="15" t="str">
        <f t="shared" si="9"/>
        <v>NA</v>
      </c>
    </row>
    <row r="85" spans="2:24" s="96" customFormat="1">
      <c r="B85" s="162" t="s">
        <v>75</v>
      </c>
      <c r="C85" s="16">
        <v>59376</v>
      </c>
      <c r="D85" s="17">
        <v>73281</v>
      </c>
      <c r="E85" s="17">
        <v>73281</v>
      </c>
      <c r="F85" s="17">
        <v>79634</v>
      </c>
      <c r="G85" s="126">
        <f t="shared" si="0"/>
        <v>0.74561117110781827</v>
      </c>
      <c r="H85" s="16">
        <v>0</v>
      </c>
      <c r="I85" s="17">
        <v>0</v>
      </c>
      <c r="J85" s="17">
        <v>0</v>
      </c>
      <c r="K85" s="17">
        <v>0</v>
      </c>
      <c r="L85" s="126" t="str">
        <f t="shared" si="1"/>
        <v>NA</v>
      </c>
      <c r="M85" s="19">
        <f t="shared" si="7"/>
        <v>0</v>
      </c>
      <c r="N85" s="21"/>
      <c r="O85" s="21"/>
      <c r="P85" s="21"/>
      <c r="Q85" s="21"/>
      <c r="R85" s="13" t="str">
        <f t="shared" si="8"/>
        <v>NA</v>
      </c>
      <c r="S85" s="19">
        <f t="shared" si="3"/>
        <v>0</v>
      </c>
      <c r="T85" s="21"/>
      <c r="U85" s="21"/>
      <c r="V85" s="21"/>
      <c r="W85" s="21"/>
      <c r="X85" s="13" t="str">
        <f t="shared" si="9"/>
        <v>NA</v>
      </c>
    </row>
    <row r="86" spans="2:24" s="96" customFormat="1" ht="38.450000000000003" customHeight="1" thickBot="1">
      <c r="B86" s="163" t="s">
        <v>76</v>
      </c>
      <c r="C86" s="18">
        <f>SUM(C35,C53,C68,C80:C81,C84,C85)</f>
        <v>302429</v>
      </c>
      <c r="D86" s="18">
        <f>SUM(D35,D53,D68,D80:D81,D84,D85)</f>
        <v>431421.97785644227</v>
      </c>
      <c r="E86" s="18">
        <f>SUM(E35,E53,E68,E80:E81,E84,E85)</f>
        <v>431421.97785644227</v>
      </c>
      <c r="F86" s="18">
        <f>SUM(F35,F53,F68,F80:F81,F84,F85)</f>
        <v>437545</v>
      </c>
      <c r="G86" s="14">
        <f t="shared" si="0"/>
        <v>0.69119519135174667</v>
      </c>
      <c r="H86" s="18">
        <f>SUM(H35,H53,H68,H80:H81,H84,H85)</f>
        <v>3261929</v>
      </c>
      <c r="I86" s="18">
        <f>SUM(I35,I53,I68,I80:I81,I84,I85)</f>
        <v>3536925.1294965697</v>
      </c>
      <c r="J86" s="18">
        <f>SUM(J35,J53,J68,J80:J81,J84,J85)</f>
        <v>3565691</v>
      </c>
      <c r="K86" s="18">
        <f>SUM(K35,K53,K68,K80:K81,K84,K85)</f>
        <v>3536925.2866894198</v>
      </c>
      <c r="L86" s="14">
        <f t="shared" si="1"/>
        <v>0.92224990227406878</v>
      </c>
      <c r="M86" s="251">
        <f>SUM(M35,M53,M68,M80:M81,M84,M85)</f>
        <v>70426704.301419586</v>
      </c>
      <c r="N86" s="252">
        <f>SUM(N35,N53,N68,N80:N81,N84,N85)</f>
        <v>39662937.599199995</v>
      </c>
      <c r="O86" s="252">
        <f>SUM(O35,O53,O68,O80:O81,O84,O85)</f>
        <v>30763766.702219579</v>
      </c>
      <c r="P86" s="252">
        <f>SUM(P35,P53,P68,P80:P81,P84,P85)</f>
        <v>101918657.29999998</v>
      </c>
      <c r="Q86" s="252">
        <f>SUM(Q35,Q53,Q68,Q80:Q81,Q84,Q85)</f>
        <v>107182475.65000001</v>
      </c>
      <c r="R86" s="14">
        <f t="shared" si="8"/>
        <v>0.65707293915653819</v>
      </c>
      <c r="S86" s="251">
        <f>SUM(S35,S53,S68,S80:S81,S84,S85)</f>
        <v>10709700.914060216</v>
      </c>
      <c r="T86" s="252">
        <f>SUM(T35,T53,T68,T80:T81,T84,T85)</f>
        <v>6684763.9986000005</v>
      </c>
      <c r="U86" s="252">
        <f>SUM(U35,U53,U68,U80:U81,U84,U85)</f>
        <v>4024936.9154602154</v>
      </c>
      <c r="V86" s="252">
        <f>SUM(V35,V53,V68,V80:V81,V84,V85)</f>
        <v>14712803.74</v>
      </c>
      <c r="W86" s="252">
        <f>SUM(W35,W53,W68,W80:W81,W84,W85)</f>
        <v>14802601.27</v>
      </c>
      <c r="X86" s="14">
        <f t="shared" si="9"/>
        <v>0.7235012764793749</v>
      </c>
    </row>
    <row r="87" spans="2:24" ht="18" customHeight="1">
      <c r="B87" s="107"/>
      <c r="C87" s="108"/>
      <c r="D87" s="109"/>
      <c r="E87" s="110"/>
      <c r="F87" s="110"/>
      <c r="G87" s="111"/>
      <c r="H87" s="111"/>
      <c r="I87" s="111"/>
      <c r="J87" s="111"/>
      <c r="K87" s="111"/>
      <c r="L87" s="111"/>
      <c r="M87" s="111"/>
      <c r="N87" s="111"/>
      <c r="O87" s="236"/>
      <c r="P87" s="111"/>
      <c r="Q87" s="111"/>
      <c r="R87" s="111"/>
      <c r="S87" s="112"/>
      <c r="T87" s="112"/>
      <c r="U87" s="112"/>
      <c r="V87" s="112"/>
      <c r="W87" s="112"/>
      <c r="X87" s="111"/>
    </row>
    <row r="88" spans="2:24">
      <c r="B88" s="108"/>
      <c r="C88" s="108"/>
      <c r="D88" s="113"/>
      <c r="E88" s="113"/>
      <c r="F88" s="113"/>
      <c r="G88" s="111"/>
      <c r="H88" s="111"/>
      <c r="I88" s="292"/>
      <c r="J88" s="111">
        <f>H86/J86</f>
        <v>0.91480978020809989</v>
      </c>
      <c r="K88" s="111"/>
      <c r="L88" s="111"/>
      <c r="M88" s="111"/>
      <c r="N88" s="111"/>
      <c r="O88" s="111"/>
      <c r="P88" s="111"/>
      <c r="Q88" s="111"/>
      <c r="R88" s="111"/>
      <c r="S88" s="112"/>
      <c r="T88" s="112"/>
      <c r="U88" s="112"/>
      <c r="V88" s="112"/>
      <c r="W88" s="112"/>
      <c r="X88" s="111"/>
    </row>
    <row r="89" spans="2:24">
      <c r="B89" s="114" t="s">
        <v>77</v>
      </c>
      <c r="C89" s="114"/>
      <c r="W89" s="115"/>
    </row>
    <row r="90" spans="2:24">
      <c r="B90" s="320" t="s">
        <v>78</v>
      </c>
      <c r="C90" s="321"/>
      <c r="D90" s="321"/>
      <c r="E90" s="321"/>
      <c r="F90" s="321"/>
      <c r="G90" s="321"/>
      <c r="H90" s="321"/>
      <c r="I90" s="321"/>
      <c r="J90" s="321"/>
      <c r="K90" s="321"/>
      <c r="L90" s="321"/>
      <c r="M90" s="321"/>
      <c r="N90" s="321"/>
      <c r="O90" s="321"/>
      <c r="P90" s="321"/>
      <c r="Q90" s="321"/>
      <c r="R90" s="321"/>
      <c r="S90" s="321"/>
      <c r="T90" s="321"/>
      <c r="U90" s="321"/>
      <c r="V90" s="321"/>
      <c r="W90" s="321"/>
      <c r="X90" s="322"/>
    </row>
    <row r="91" spans="2:24" ht="17.45" customHeight="1">
      <c r="B91" s="323" t="s">
        <v>79</v>
      </c>
      <c r="C91" s="324"/>
      <c r="D91" s="324"/>
      <c r="E91" s="324"/>
      <c r="F91" s="324"/>
      <c r="G91" s="324"/>
      <c r="H91" s="324"/>
      <c r="I91" s="324"/>
      <c r="J91" s="324"/>
      <c r="K91" s="324"/>
      <c r="L91" s="324"/>
      <c r="M91" s="324"/>
      <c r="N91" s="324"/>
      <c r="O91" s="324"/>
      <c r="P91" s="324"/>
      <c r="Q91" s="324"/>
      <c r="R91" s="324"/>
      <c r="S91" s="324"/>
      <c r="T91" s="324"/>
      <c r="U91" s="324"/>
      <c r="V91" s="324"/>
      <c r="W91" s="324"/>
      <c r="X91" s="325"/>
    </row>
    <row r="92" spans="2:24">
      <c r="B92" s="314" t="s">
        <v>80</v>
      </c>
      <c r="C92" s="315"/>
      <c r="D92" s="315"/>
      <c r="E92" s="315"/>
      <c r="F92" s="315"/>
      <c r="G92" s="315"/>
      <c r="H92" s="315"/>
      <c r="I92" s="315"/>
      <c r="J92" s="315"/>
      <c r="K92" s="315"/>
      <c r="L92" s="315"/>
      <c r="M92" s="315"/>
      <c r="N92" s="315"/>
      <c r="O92" s="315"/>
      <c r="P92" s="315"/>
      <c r="Q92" s="315"/>
      <c r="R92" s="315"/>
      <c r="S92" s="315"/>
      <c r="T92" s="315"/>
      <c r="U92" s="315"/>
      <c r="V92" s="315"/>
      <c r="W92" s="315"/>
      <c r="X92" s="316"/>
    </row>
    <row r="93" spans="2:24">
      <c r="B93" s="317"/>
      <c r="C93" s="318"/>
      <c r="D93" s="318"/>
      <c r="E93" s="318"/>
      <c r="F93" s="318"/>
      <c r="G93" s="318"/>
      <c r="H93" s="318"/>
      <c r="I93" s="318"/>
      <c r="J93" s="318"/>
      <c r="K93" s="318"/>
      <c r="L93" s="318"/>
      <c r="M93" s="318"/>
      <c r="N93" s="318"/>
      <c r="O93" s="318"/>
      <c r="P93" s="318"/>
      <c r="Q93" s="318"/>
      <c r="R93" s="318"/>
      <c r="S93" s="318"/>
      <c r="T93" s="318"/>
      <c r="U93" s="318"/>
      <c r="V93" s="318"/>
      <c r="W93" s="318"/>
      <c r="X93" s="319"/>
    </row>
    <row r="94" spans="2:24">
      <c r="B94" s="306" t="s">
        <v>81</v>
      </c>
      <c r="C94" s="306"/>
      <c r="D94" s="306"/>
      <c r="E94" s="306"/>
      <c r="F94" s="306"/>
      <c r="G94" s="306"/>
      <c r="H94" s="306"/>
      <c r="I94" s="306"/>
      <c r="J94" s="306"/>
      <c r="K94" s="306"/>
      <c r="L94" s="306"/>
      <c r="M94" s="306"/>
      <c r="N94" s="306"/>
      <c r="O94" s="306"/>
      <c r="P94" s="306"/>
      <c r="Q94" s="306"/>
      <c r="R94" s="306"/>
      <c r="S94" s="306"/>
      <c r="T94" s="306"/>
      <c r="U94" s="306"/>
      <c r="V94" s="306"/>
      <c r="W94" s="306"/>
      <c r="X94" s="306"/>
    </row>
  </sheetData>
  <mergeCells count="10">
    <mergeCell ref="B94:X94"/>
    <mergeCell ref="B5:X6"/>
    <mergeCell ref="B8:X16"/>
    <mergeCell ref="B92:X93"/>
    <mergeCell ref="B90:X90"/>
    <mergeCell ref="B91:X91"/>
    <mergeCell ref="C20:G20"/>
    <mergeCell ref="H20:L20"/>
    <mergeCell ref="M20:R20"/>
    <mergeCell ref="S20:X20"/>
  </mergeCells>
  <printOptions headings="1"/>
  <pageMargins left="0.7" right="0.7" top="0.75" bottom="0.75" header="0.3" footer="0.3"/>
  <pageSetup scale="44" orientation="portrait" r:id="rId1"/>
  <ignoredErrors>
    <ignoredError sqref="G68 G53 G35:G36 G86 G83 G73:G78 L73:L78 R73:R78" formula="1"/>
    <ignoredError sqref="S80:S81 S23:S33 M80:M81 M23:M33 M56:M66 D86 M38:M50 S38:S50 M52:M55 H86:L86 E86:F86 S62:S65 S56:S58 S55 S59:S61 S6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heetViews>
  <sheetFormatPr defaultColWidth="9.140625" defaultRowHeight="14.45"/>
  <cols>
    <col min="1" max="1" width="3.42578125" style="53" customWidth="1"/>
    <col min="2" max="2" width="87" style="132" bestFit="1" customWidth="1"/>
    <col min="3" max="3" width="19.28515625" style="132" customWidth="1"/>
    <col min="4" max="7" width="19.28515625" style="53" customWidth="1"/>
    <col min="8" max="8" width="9.140625" style="53"/>
    <col min="9" max="9" width="10.28515625" style="53" bestFit="1" customWidth="1"/>
    <col min="10" max="16384" width="9.140625" style="53"/>
  </cols>
  <sheetData>
    <row r="1" spans="2:5">
      <c r="B1" s="54" t="s">
        <v>0</v>
      </c>
    </row>
    <row r="2" spans="2:5">
      <c r="B2" s="54" t="s">
        <v>82</v>
      </c>
    </row>
    <row r="3" spans="2:5">
      <c r="B3" s="54" t="s">
        <v>83</v>
      </c>
    </row>
    <row r="4" spans="2:5">
      <c r="B4" s="54"/>
    </row>
    <row r="5" spans="2:5" ht="37.5" customHeight="1">
      <c r="B5" s="329" t="s">
        <v>84</v>
      </c>
      <c r="C5" s="330"/>
      <c r="D5" s="330"/>
      <c r="E5" s="331"/>
    </row>
    <row r="6" spans="2:5" ht="37.5" customHeight="1">
      <c r="B6" s="332"/>
      <c r="C6" s="333"/>
      <c r="D6" s="333"/>
      <c r="E6" s="334"/>
    </row>
    <row r="7" spans="2:5" ht="18.75" customHeight="1">
      <c r="B7" s="335"/>
      <c r="C7" s="336"/>
      <c r="D7" s="336"/>
      <c r="E7" s="337"/>
    </row>
    <row r="9" spans="2:5">
      <c r="B9" s="54" t="s">
        <v>85</v>
      </c>
    </row>
    <row r="10" spans="2:5">
      <c r="B10" s="54"/>
    </row>
    <row r="11" spans="2:5" ht="37.5">
      <c r="B11" s="24" t="s">
        <v>86</v>
      </c>
      <c r="C11" s="25" t="s">
        <v>87</v>
      </c>
      <c r="D11" s="25" t="s">
        <v>88</v>
      </c>
      <c r="E11" s="25" t="s">
        <v>89</v>
      </c>
    </row>
    <row r="12" spans="2:5" s="56" customFormat="1" ht="21" customHeight="1">
      <c r="B12" s="147" t="s">
        <v>90</v>
      </c>
      <c r="C12" s="148"/>
      <c r="D12" s="148"/>
      <c r="E12" s="149"/>
    </row>
    <row r="13" spans="2:5">
      <c r="B13" s="133" t="s">
        <v>91</v>
      </c>
      <c r="C13" s="134">
        <f>'1- Ex Ante Results'!M36</f>
        <v>24973162.845206797</v>
      </c>
      <c r="D13" s="134">
        <f>'1- Ex Ante Results'!S36</f>
        <v>2438587.8883281588</v>
      </c>
      <c r="E13" s="134">
        <f>SUM(C13:D13)</f>
        <v>27411750.733534954</v>
      </c>
    </row>
    <row r="14" spans="2:5">
      <c r="B14" s="135" t="s">
        <v>92</v>
      </c>
      <c r="C14" s="136">
        <f>'1- Ex Ante Results'!M37</f>
        <v>5797053.29</v>
      </c>
      <c r="D14" s="136">
        <f>'1- Ex Ante Results'!S37</f>
        <v>1450234.29</v>
      </c>
      <c r="E14" s="134">
        <f t="shared" ref="E14:E17" si="0">SUM(C14:D14)</f>
        <v>7247287.5800000001</v>
      </c>
    </row>
    <row r="15" spans="2:5">
      <c r="B15" s="135" t="s">
        <v>37</v>
      </c>
      <c r="C15" s="136">
        <f>'1- Ex Ante Results'!M53</f>
        <v>9652898.3532970175</v>
      </c>
      <c r="D15" s="136">
        <f>'1- Ex Ante Results'!S53</f>
        <v>2216049.0462046964</v>
      </c>
      <c r="E15" s="134">
        <f t="shared" si="0"/>
        <v>11868947.399501715</v>
      </c>
    </row>
    <row r="16" spans="2:5">
      <c r="B16" s="135" t="s">
        <v>51</v>
      </c>
      <c r="C16" s="136">
        <f>'1- Ex Ante Results'!M68</f>
        <v>30003589.812915765</v>
      </c>
      <c r="D16" s="136">
        <f>'1- Ex Ante Results'!S68</f>
        <v>4604829.6895273607</v>
      </c>
      <c r="E16" s="134">
        <f t="shared" si="0"/>
        <v>34608419.502443127</v>
      </c>
    </row>
    <row r="17" spans="2:7">
      <c r="B17" s="137" t="s">
        <v>93</v>
      </c>
      <c r="C17" s="138">
        <f>'1- Ex Ante Results'!M83</f>
        <v>9853516.2091348767</v>
      </c>
      <c r="D17" s="138">
        <f>'1- Ex Ante Results'!S83</f>
        <v>1241536.674831036</v>
      </c>
      <c r="E17" s="139">
        <f t="shared" si="0"/>
        <v>11095052.883965913</v>
      </c>
    </row>
    <row r="18" spans="2:7" s="56" customFormat="1" ht="21.6" customHeight="1">
      <c r="B18" s="26" t="s">
        <v>94</v>
      </c>
      <c r="C18" s="27">
        <f>SUM(C13:C16)</f>
        <v>70426704.301419586</v>
      </c>
      <c r="D18" s="27">
        <f t="shared" ref="D18:E18" si="1">SUM(D13:D16)</f>
        <v>10709700.914060216</v>
      </c>
      <c r="E18" s="27">
        <f t="shared" si="1"/>
        <v>81136405.215479791</v>
      </c>
    </row>
    <row r="19" spans="2:7" s="56" customFormat="1" ht="29.45" customHeight="1">
      <c r="B19" s="150" t="s">
        <v>95</v>
      </c>
      <c r="C19" s="151"/>
      <c r="D19" s="151"/>
      <c r="E19" s="152"/>
    </row>
    <row r="20" spans="2:7">
      <c r="B20" s="140" t="s">
        <v>96</v>
      </c>
      <c r="C20" s="248">
        <v>2423755</v>
      </c>
      <c r="D20" s="248">
        <v>0</v>
      </c>
      <c r="E20" s="141">
        <f>SUM(C20:D20)</f>
        <v>2423755</v>
      </c>
    </row>
    <row r="21" spans="2:7">
      <c r="B21" s="135" t="s">
        <v>97</v>
      </c>
      <c r="C21" s="249">
        <v>1508584</v>
      </c>
      <c r="D21" s="249">
        <v>231330</v>
      </c>
      <c r="E21" s="141">
        <f t="shared" ref="E21:E23" si="2">SUM(C21:D21)</f>
        <v>1739914</v>
      </c>
    </row>
    <row r="22" spans="2:7">
      <c r="B22" s="142" t="s">
        <v>98</v>
      </c>
      <c r="C22" s="249">
        <f>470182+1632820</f>
        <v>2103002</v>
      </c>
      <c r="D22" s="249">
        <f>64116+222657</f>
        <v>286773</v>
      </c>
      <c r="E22" s="141">
        <f t="shared" si="2"/>
        <v>2389775</v>
      </c>
    </row>
    <row r="23" spans="2:7">
      <c r="B23" s="135" t="s">
        <v>99</v>
      </c>
      <c r="C23" s="249">
        <v>4820642</v>
      </c>
      <c r="D23" s="249">
        <v>628341</v>
      </c>
      <c r="E23" s="141">
        <f t="shared" si="2"/>
        <v>5448983</v>
      </c>
    </row>
    <row r="24" spans="2:7" s="56" customFormat="1" ht="23.45" customHeight="1">
      <c r="B24" s="6" t="s">
        <v>100</v>
      </c>
      <c r="C24" s="28">
        <f>SUM(C20:C23)</f>
        <v>10855983</v>
      </c>
      <c r="D24" s="28">
        <f t="shared" ref="D24:E24" si="3">SUM(D20:D23)</f>
        <v>1146444</v>
      </c>
      <c r="E24" s="28">
        <f t="shared" si="3"/>
        <v>12002427</v>
      </c>
    </row>
    <row r="25" spans="2:7" s="56" customFormat="1" ht="32.450000000000003" customHeight="1">
      <c r="B25" s="153" t="s">
        <v>101</v>
      </c>
      <c r="C25" s="154">
        <f>SUM(C18,C24)</f>
        <v>81282687.301419586</v>
      </c>
      <c r="D25" s="154">
        <f t="shared" ref="D25:E25" si="4">SUM(D18,D24)</f>
        <v>11856144.914060216</v>
      </c>
      <c r="E25" s="154">
        <f t="shared" si="4"/>
        <v>93138832.215479791</v>
      </c>
    </row>
    <row r="26" spans="2:7">
      <c r="B26" s="144"/>
      <c r="C26" s="144"/>
    </row>
    <row r="27" spans="2:7" s="56" customFormat="1" ht="17.45" customHeight="1">
      <c r="B27" s="145"/>
      <c r="C27" s="145"/>
    </row>
    <row r="28" spans="2:7" s="56" customFormat="1" ht="20.100000000000001" customHeight="1">
      <c r="B28" s="52" t="s">
        <v>102</v>
      </c>
      <c r="C28" s="145"/>
    </row>
    <row r="29" spans="2:7" ht="42" customHeight="1">
      <c r="B29" s="5" t="s">
        <v>103</v>
      </c>
      <c r="C29" s="25" t="s">
        <v>87</v>
      </c>
      <c r="D29" s="25" t="s">
        <v>88</v>
      </c>
      <c r="E29" s="25" t="s">
        <v>89</v>
      </c>
      <c r="F29" s="5" t="s">
        <v>104</v>
      </c>
      <c r="G29" s="4" t="s">
        <v>21</v>
      </c>
    </row>
    <row r="30" spans="2:7" s="56" customFormat="1" ht="35.450000000000003" customHeight="1">
      <c r="B30" s="143" t="s">
        <v>101</v>
      </c>
      <c r="C30" s="146">
        <f>C25</f>
        <v>81282687.301419586</v>
      </c>
      <c r="D30" s="146">
        <f t="shared" ref="D30:E30" si="5">D25</f>
        <v>11856144.914060216</v>
      </c>
      <c r="E30" s="146">
        <f t="shared" si="5"/>
        <v>93138832.215479791</v>
      </c>
      <c r="F30" s="146">
        <v>135325881.10881984</v>
      </c>
      <c r="G30" s="232">
        <f>E30/F30</f>
        <v>0.68825587132578059</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heetViews>
  <sheetFormatPr defaultColWidth="9.140625" defaultRowHeight="14.45"/>
  <cols>
    <col min="1" max="1" width="4.42578125" style="53" customWidth="1"/>
    <col min="2" max="2" width="4.85546875" style="115" customWidth="1"/>
    <col min="3" max="3" width="4.5703125" style="53" customWidth="1"/>
    <col min="4" max="4" width="76.5703125" style="53" customWidth="1"/>
    <col min="5" max="5" width="14" style="53" customWidth="1"/>
    <col min="6" max="6" width="45" style="53" customWidth="1"/>
    <col min="7" max="7" width="21.7109375" style="53" bestFit="1" customWidth="1"/>
    <col min="8" max="8" width="13.28515625" style="53" bestFit="1" customWidth="1"/>
    <col min="9" max="9" width="11" style="53" bestFit="1" customWidth="1"/>
    <col min="10" max="16384" width="9.140625" style="53"/>
  </cols>
  <sheetData>
    <row r="1" spans="2:11" ht="16.5" customHeight="1">
      <c r="B1" s="54" t="s">
        <v>0</v>
      </c>
      <c r="E1" s="192"/>
      <c r="F1" s="192"/>
    </row>
    <row r="2" spans="2:11" ht="14.25" customHeight="1">
      <c r="B2" s="54" t="s">
        <v>105</v>
      </c>
      <c r="E2" s="193"/>
      <c r="F2" s="193"/>
    </row>
    <row r="3" spans="2:11" ht="15.6">
      <c r="B3" s="54" t="s">
        <v>83</v>
      </c>
      <c r="E3" s="194"/>
      <c r="F3" s="194"/>
    </row>
    <row r="4" spans="2:11" ht="18.600000000000001">
      <c r="B4" s="195"/>
      <c r="E4" s="194"/>
      <c r="F4" s="194"/>
    </row>
    <row r="5" spans="2:11" ht="22.35" customHeight="1">
      <c r="B5" s="313" t="s">
        <v>106</v>
      </c>
      <c r="C5" s="313"/>
      <c r="D5" s="313"/>
      <c r="E5" s="177"/>
      <c r="F5" s="177"/>
      <c r="G5" s="177"/>
      <c r="H5" s="177"/>
      <c r="I5" s="177"/>
      <c r="J5" s="177"/>
      <c r="K5" s="177"/>
    </row>
    <row r="6" spans="2:11" ht="27" customHeight="1">
      <c r="B6" s="313"/>
      <c r="C6" s="313"/>
      <c r="D6" s="313"/>
      <c r="E6" s="177"/>
      <c r="F6" s="177"/>
      <c r="G6" s="177"/>
      <c r="H6" s="177"/>
      <c r="I6" s="177"/>
      <c r="J6" s="177"/>
      <c r="K6" s="177"/>
    </row>
    <row r="7" spans="2:11" ht="22.35" customHeight="1">
      <c r="B7" s="67"/>
      <c r="C7" s="67"/>
      <c r="D7" s="67"/>
      <c r="E7" s="177"/>
      <c r="F7" s="177"/>
      <c r="G7" s="177"/>
      <c r="H7" s="177"/>
      <c r="I7" s="177"/>
      <c r="J7" s="177"/>
      <c r="K7" s="177"/>
    </row>
    <row r="8" spans="2:11" ht="22.35" customHeight="1">
      <c r="B8" s="350" t="s">
        <v>107</v>
      </c>
      <c r="C8" s="350"/>
      <c r="D8" s="350"/>
      <c r="E8" s="177"/>
      <c r="F8" s="177"/>
      <c r="G8" s="177"/>
      <c r="H8" s="177"/>
      <c r="I8" s="177"/>
      <c r="J8" s="177"/>
      <c r="K8" s="177"/>
    </row>
    <row r="9" spans="2:11" ht="21" customHeight="1">
      <c r="B9" s="355" t="s">
        <v>108</v>
      </c>
      <c r="C9" s="355"/>
      <c r="D9" s="355"/>
      <c r="E9" s="67"/>
      <c r="F9" s="67"/>
      <c r="G9" s="67"/>
      <c r="H9" s="67"/>
      <c r="I9" s="67"/>
      <c r="J9" s="67"/>
      <c r="K9" s="67"/>
    </row>
    <row r="10" spans="2:11" ht="21" customHeight="1">
      <c r="B10" s="356" t="s">
        <v>109</v>
      </c>
      <c r="C10" s="356"/>
      <c r="D10" s="356"/>
      <c r="E10" s="67"/>
      <c r="F10" s="67"/>
      <c r="G10" s="67"/>
      <c r="H10" s="67"/>
      <c r="I10" s="67"/>
      <c r="J10" s="67"/>
      <c r="K10" s="67"/>
    </row>
    <row r="11" spans="2:11" ht="21" customHeight="1">
      <c r="B11" s="357" t="s">
        <v>110</v>
      </c>
      <c r="C11" s="357"/>
      <c r="D11" s="357"/>
      <c r="E11" s="67"/>
      <c r="F11" s="67"/>
      <c r="G11" s="67"/>
      <c r="H11" s="67"/>
      <c r="I11" s="67"/>
      <c r="J11" s="67"/>
      <c r="K11" s="67"/>
    </row>
    <row r="12" spans="2:11" ht="21" customHeight="1">
      <c r="B12" s="55"/>
      <c r="C12" s="55"/>
      <c r="D12" s="55"/>
      <c r="E12" s="67"/>
      <c r="F12" s="67"/>
      <c r="G12" s="67"/>
      <c r="H12" s="67"/>
      <c r="I12" s="67"/>
      <c r="J12" s="67"/>
      <c r="K12" s="67"/>
    </row>
    <row r="13" spans="2:11" ht="21" customHeight="1">
      <c r="B13" s="94" t="s">
        <v>111</v>
      </c>
      <c r="C13" s="55"/>
      <c r="D13" s="55"/>
      <c r="E13" s="67"/>
      <c r="F13" s="67"/>
      <c r="G13" s="67"/>
      <c r="H13" s="67"/>
      <c r="I13" s="67"/>
      <c r="J13" s="67"/>
      <c r="K13" s="67"/>
    </row>
    <row r="14" spans="2:11" ht="21" customHeight="1">
      <c r="B14" s="67"/>
      <c r="C14" s="67"/>
      <c r="D14" s="67"/>
      <c r="E14" s="67"/>
      <c r="F14" s="67"/>
      <c r="G14" s="67"/>
      <c r="H14" s="67"/>
      <c r="I14" s="67"/>
      <c r="J14" s="67"/>
      <c r="K14" s="67"/>
    </row>
    <row r="15" spans="2:11" ht="18" customHeight="1">
      <c r="B15" s="201" t="s">
        <v>112</v>
      </c>
      <c r="C15" s="202"/>
      <c r="D15" s="202"/>
      <c r="E15" s="202"/>
      <c r="F15" s="203"/>
    </row>
    <row r="16" spans="2:11">
      <c r="B16" s="199" t="s">
        <v>113</v>
      </c>
      <c r="C16" s="353" t="s">
        <v>114</v>
      </c>
      <c r="D16" s="354"/>
      <c r="E16" s="204">
        <v>0.11251876063232784</v>
      </c>
      <c r="F16" s="200" t="s">
        <v>115</v>
      </c>
      <c r="G16" s="257"/>
      <c r="H16" s="256"/>
    </row>
    <row r="17" spans="1:9">
      <c r="B17" s="190" t="s">
        <v>116</v>
      </c>
      <c r="C17" s="344" t="s">
        <v>117</v>
      </c>
      <c r="D17" s="345"/>
      <c r="E17" s="205">
        <v>29422649</v>
      </c>
      <c r="F17" s="8" t="s">
        <v>115</v>
      </c>
      <c r="G17" s="257"/>
    </row>
    <row r="18" spans="1:9">
      <c r="B18" s="190" t="s">
        <v>118</v>
      </c>
      <c r="C18" s="344" t="s">
        <v>119</v>
      </c>
      <c r="D18" s="345"/>
      <c r="E18" s="206">
        <f>E16*E17</f>
        <v>3310600</v>
      </c>
      <c r="F18" s="7" t="s">
        <v>120</v>
      </c>
      <c r="H18" s="240"/>
    </row>
    <row r="19" spans="1:9">
      <c r="B19" s="190" t="s">
        <v>121</v>
      </c>
      <c r="C19" s="344" t="s">
        <v>122</v>
      </c>
      <c r="D19" s="345"/>
      <c r="E19" s="207">
        <v>3313131</v>
      </c>
      <c r="F19" s="9" t="s">
        <v>123</v>
      </c>
      <c r="I19" s="238"/>
    </row>
    <row r="20" spans="1:9" ht="16.5" customHeight="1">
      <c r="B20" s="190"/>
      <c r="C20" s="196" t="s">
        <v>124</v>
      </c>
      <c r="D20" s="197"/>
      <c r="E20" s="208"/>
      <c r="F20" s="198"/>
    </row>
    <row r="21" spans="1:9">
      <c r="B21" s="190" t="s">
        <v>125</v>
      </c>
      <c r="C21" s="340" t="s">
        <v>126</v>
      </c>
      <c r="D21" s="341"/>
      <c r="E21" s="205">
        <v>823834</v>
      </c>
      <c r="F21" s="8" t="s">
        <v>127</v>
      </c>
    </row>
    <row r="22" spans="1:9">
      <c r="B22" s="190" t="s">
        <v>128</v>
      </c>
      <c r="C22" s="340" t="s">
        <v>129</v>
      </c>
      <c r="D22" s="341"/>
      <c r="E22" s="205">
        <v>912102</v>
      </c>
      <c r="F22" s="8" t="s">
        <v>127</v>
      </c>
    </row>
    <row r="23" spans="1:9">
      <c r="B23" s="190" t="s">
        <v>130</v>
      </c>
      <c r="C23" s="340" t="s">
        <v>131</v>
      </c>
      <c r="D23" s="341"/>
      <c r="E23" s="209">
        <f>E21/E17</f>
        <v>2.7999994154163346E-2</v>
      </c>
      <c r="F23" s="7" t="s">
        <v>132</v>
      </c>
    </row>
    <row r="24" spans="1:9">
      <c r="A24" s="56"/>
      <c r="B24" s="190" t="s">
        <v>133</v>
      </c>
      <c r="C24" s="340" t="s">
        <v>134</v>
      </c>
      <c r="D24" s="341"/>
      <c r="E24" s="206">
        <f>E22-E21</f>
        <v>88268</v>
      </c>
      <c r="F24" s="7" t="s">
        <v>135</v>
      </c>
    </row>
    <row r="25" spans="1:9">
      <c r="B25" s="190" t="s">
        <v>136</v>
      </c>
      <c r="C25" s="340" t="s">
        <v>137</v>
      </c>
      <c r="D25" s="341"/>
      <c r="E25" s="207">
        <v>70792</v>
      </c>
      <c r="F25" s="9" t="s">
        <v>123</v>
      </c>
      <c r="H25" s="253"/>
    </row>
    <row r="26" spans="1:9">
      <c r="B26" s="190" t="s">
        <v>138</v>
      </c>
      <c r="C26" s="342" t="s">
        <v>139</v>
      </c>
      <c r="D26" s="343"/>
      <c r="E26" s="210">
        <f>E24+E25</f>
        <v>159060</v>
      </c>
      <c r="F26" s="7" t="s">
        <v>140</v>
      </c>
    </row>
    <row r="27" spans="1:9">
      <c r="B27" s="190" t="s">
        <v>141</v>
      </c>
      <c r="C27" s="344" t="s">
        <v>142</v>
      </c>
      <c r="D27" s="345"/>
      <c r="E27" s="206">
        <f>E18-E19+E26</f>
        <v>156529</v>
      </c>
      <c r="F27" s="7" t="s">
        <v>143</v>
      </c>
    </row>
    <row r="28" spans="1:9">
      <c r="B28" s="267" t="s">
        <v>144</v>
      </c>
      <c r="C28" s="346" t="s">
        <v>145</v>
      </c>
      <c r="D28" s="347"/>
      <c r="E28" s="211">
        <f>E29</f>
        <v>302429</v>
      </c>
      <c r="F28" s="9" t="s">
        <v>146</v>
      </c>
      <c r="G28"/>
    </row>
    <row r="29" spans="1:9">
      <c r="B29" s="190" t="s">
        <v>147</v>
      </c>
      <c r="C29" s="344" t="s">
        <v>148</v>
      </c>
      <c r="D29" s="345"/>
      <c r="E29" s="211">
        <f>'1- Ex Ante Results'!C86</f>
        <v>302429</v>
      </c>
      <c r="F29" s="9" t="s">
        <v>149</v>
      </c>
    </row>
    <row r="30" spans="1:9" ht="27" customHeight="1">
      <c r="B30" s="190" t="s">
        <v>150</v>
      </c>
      <c r="C30" s="338" t="s">
        <v>151</v>
      </c>
      <c r="D30" s="339"/>
      <c r="E30" s="212">
        <f>E29/E27</f>
        <v>1.932095650007347</v>
      </c>
      <c r="F30" s="7" t="s">
        <v>152</v>
      </c>
    </row>
    <row r="31" spans="1:9" ht="18" customHeight="1">
      <c r="B31" s="243" t="s">
        <v>153</v>
      </c>
      <c r="C31" s="244"/>
      <c r="D31" s="244"/>
      <c r="E31" s="245"/>
      <c r="F31" s="246"/>
    </row>
    <row r="32" spans="1:9">
      <c r="B32" s="190" t="s">
        <v>154</v>
      </c>
      <c r="C32" s="348" t="s">
        <v>155</v>
      </c>
      <c r="D32" s="349"/>
      <c r="E32" s="214">
        <v>9.4688720000000004E-2</v>
      </c>
      <c r="F32" s="185" t="s">
        <v>115</v>
      </c>
    </row>
    <row r="33" spans="2:8">
      <c r="B33" s="190" t="s">
        <v>156</v>
      </c>
      <c r="C33" s="348" t="s">
        <v>157</v>
      </c>
      <c r="D33" s="349"/>
      <c r="E33" s="211">
        <v>3045376</v>
      </c>
      <c r="F33" s="184" t="s">
        <v>115</v>
      </c>
    </row>
    <row r="34" spans="2:8">
      <c r="B34" s="190" t="s">
        <v>158</v>
      </c>
      <c r="C34" s="191" t="s">
        <v>159</v>
      </c>
      <c r="D34" s="191"/>
      <c r="E34" s="206">
        <f>E18-E33</f>
        <v>265224</v>
      </c>
      <c r="F34" s="7" t="s">
        <v>160</v>
      </c>
    </row>
    <row r="35" spans="2:8">
      <c r="B35" s="190" t="s">
        <v>161</v>
      </c>
      <c r="C35" s="191" t="s">
        <v>162</v>
      </c>
      <c r="D35" s="191"/>
      <c r="E35" s="206">
        <f>E34+E26</f>
        <v>424284</v>
      </c>
      <c r="F35" s="7" t="s">
        <v>163</v>
      </c>
      <c r="G35" s="189"/>
    </row>
    <row r="36" spans="2:8">
      <c r="B36" s="190" t="s">
        <v>164</v>
      </c>
      <c r="C36" s="191" t="s">
        <v>165</v>
      </c>
      <c r="D36" s="191"/>
      <c r="E36" s="206">
        <f>E29</f>
        <v>302429</v>
      </c>
      <c r="F36" s="7" t="s">
        <v>166</v>
      </c>
      <c r="H36" s="189"/>
    </row>
    <row r="37" spans="2:8" ht="32.450000000000003" customHeight="1">
      <c r="B37" s="190" t="s">
        <v>167</v>
      </c>
      <c r="C37" s="351" t="s">
        <v>168</v>
      </c>
      <c r="D37" s="352"/>
      <c r="E37" s="213">
        <f>E26</f>
        <v>159060</v>
      </c>
      <c r="F37" s="7" t="s">
        <v>169</v>
      </c>
    </row>
    <row r="38" spans="2:8">
      <c r="B38" s="190" t="s">
        <v>170</v>
      </c>
      <c r="C38" s="351" t="s">
        <v>171</v>
      </c>
      <c r="D38" s="352"/>
      <c r="E38" s="206">
        <f>E36-E37</f>
        <v>143369</v>
      </c>
      <c r="F38" s="7" t="s">
        <v>172</v>
      </c>
    </row>
    <row r="39" spans="2:8" ht="30" customHeight="1">
      <c r="B39" s="190" t="s">
        <v>173</v>
      </c>
      <c r="C39" s="338" t="s">
        <v>174</v>
      </c>
      <c r="D39" s="339"/>
      <c r="E39" s="212">
        <f>E38/E34</f>
        <v>0.54055816969806658</v>
      </c>
      <c r="F39" s="7" t="s">
        <v>175</v>
      </c>
    </row>
    <row r="40" spans="2:8">
      <c r="B40" s="186"/>
      <c r="C40" s="132"/>
      <c r="D40" s="132"/>
      <c r="E40" s="187"/>
      <c r="F40" s="188"/>
    </row>
    <row r="41" spans="2:8">
      <c r="B41" s="186"/>
      <c r="C41" s="132"/>
      <c r="D41" s="132"/>
      <c r="E41" s="132"/>
      <c r="F41" s="132"/>
    </row>
  </sheetData>
  <mergeCells count="24">
    <mergeCell ref="B5:D6"/>
    <mergeCell ref="B8:D8"/>
    <mergeCell ref="C37:D37"/>
    <mergeCell ref="C38:D38"/>
    <mergeCell ref="C19:D19"/>
    <mergeCell ref="C16:D16"/>
    <mergeCell ref="C17:D17"/>
    <mergeCell ref="C18:D18"/>
    <mergeCell ref="B9:D9"/>
    <mergeCell ref="B10:D10"/>
    <mergeCell ref="B11:D11"/>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heetViews>
  <sheetFormatPr defaultColWidth="9.140625" defaultRowHeight="14.45"/>
  <cols>
    <col min="1" max="1" width="3.5703125" style="53" customWidth="1"/>
    <col min="2" max="2" width="18.85546875" style="56" customWidth="1"/>
    <col min="3" max="3" width="22.28515625" style="53" customWidth="1"/>
    <col min="4" max="4" width="24.140625" style="53" customWidth="1"/>
    <col min="5" max="5" width="18.85546875" style="53" customWidth="1"/>
    <col min="6" max="6" width="18.5703125" style="53" customWidth="1"/>
    <col min="7" max="7" width="19.42578125" style="53" customWidth="1"/>
    <col min="8" max="8" width="22" style="53" bestFit="1" customWidth="1"/>
    <col min="9" max="12" width="19.42578125" style="53" customWidth="1"/>
    <col min="13" max="13" width="3.42578125" style="53" customWidth="1"/>
    <col min="14" max="14" width="31.85546875" style="53" customWidth="1"/>
    <col min="15" max="17" width="16.7109375" style="53" customWidth="1"/>
    <col min="18" max="20" width="19.140625" style="53" bestFit="1" customWidth="1"/>
    <col min="21" max="23" width="16.7109375" style="53" customWidth="1"/>
    <col min="24" max="24" width="21.140625" style="53" bestFit="1" customWidth="1"/>
    <col min="25" max="16384" width="9.140625" style="53"/>
  </cols>
  <sheetData>
    <row r="1" spans="2:24">
      <c r="B1" s="52" t="s">
        <v>0</v>
      </c>
    </row>
    <row r="2" spans="2:24">
      <c r="B2" s="52" t="s">
        <v>176</v>
      </c>
    </row>
    <row r="3" spans="2:24">
      <c r="B3" s="54" t="s">
        <v>83</v>
      </c>
    </row>
    <row r="4" spans="2:24">
      <c r="B4" s="52"/>
    </row>
    <row r="5" spans="2:24" ht="14.45" customHeight="1">
      <c r="B5" s="361" t="s">
        <v>177</v>
      </c>
      <c r="C5" s="361"/>
      <c r="D5" s="361"/>
      <c r="E5" s="361"/>
      <c r="F5" s="361"/>
      <c r="G5" s="361"/>
      <c r="H5" s="55"/>
      <c r="I5" s="55"/>
      <c r="J5" s="55"/>
      <c r="K5" s="55"/>
      <c r="L5" s="55"/>
    </row>
    <row r="6" spans="2:24">
      <c r="B6" s="361"/>
      <c r="C6" s="361"/>
      <c r="D6" s="361"/>
      <c r="E6" s="361"/>
      <c r="F6" s="361"/>
      <c r="G6" s="361"/>
      <c r="H6" s="55"/>
      <c r="I6" s="55"/>
      <c r="J6" s="55"/>
      <c r="K6" s="55"/>
      <c r="L6" s="55"/>
    </row>
    <row r="7" spans="2:24">
      <c r="B7" s="361"/>
      <c r="C7" s="361"/>
      <c r="D7" s="361"/>
      <c r="E7" s="361"/>
      <c r="F7" s="361"/>
      <c r="G7" s="361"/>
      <c r="H7" s="55"/>
      <c r="I7" s="55"/>
      <c r="J7" s="55"/>
      <c r="K7" s="55"/>
      <c r="L7" s="55"/>
    </row>
    <row r="8" spans="2:24">
      <c r="B8" s="361"/>
      <c r="C8" s="361"/>
      <c r="D8" s="361"/>
      <c r="E8" s="361"/>
      <c r="F8" s="361"/>
      <c r="G8" s="361"/>
      <c r="H8" s="55"/>
      <c r="I8" s="55"/>
      <c r="J8" s="55"/>
      <c r="K8" s="55"/>
      <c r="L8" s="55"/>
    </row>
    <row r="9" spans="2:24">
      <c r="B9" s="361"/>
      <c r="C9" s="361"/>
      <c r="D9" s="361"/>
      <c r="E9" s="361"/>
      <c r="F9" s="361"/>
      <c r="G9" s="361"/>
      <c r="H9" s="55"/>
      <c r="I9" s="55"/>
      <c r="J9" s="55"/>
      <c r="K9" s="55"/>
      <c r="L9" s="55"/>
    </row>
    <row r="11" spans="2:24" ht="18">
      <c r="B11" s="57" t="s">
        <v>178</v>
      </c>
      <c r="C11" s="57"/>
      <c r="D11" s="58"/>
      <c r="E11" s="58"/>
      <c r="F11" s="58"/>
      <c r="G11" s="58"/>
      <c r="H11" s="58"/>
      <c r="I11" s="58"/>
      <c r="J11" s="58"/>
      <c r="K11" s="58"/>
      <c r="L11" s="58"/>
      <c r="N11" s="59" t="s">
        <v>179</v>
      </c>
    </row>
    <row r="12" spans="2:24" ht="18.600000000000001" thickBot="1">
      <c r="B12" s="57"/>
      <c r="C12" s="57"/>
      <c r="D12" s="58"/>
      <c r="E12" s="58"/>
      <c r="F12" s="58"/>
      <c r="G12" s="58"/>
      <c r="H12" s="58"/>
      <c r="I12" s="58"/>
      <c r="J12" s="58"/>
      <c r="K12" s="58"/>
      <c r="L12" s="58"/>
      <c r="N12" s="59"/>
    </row>
    <row r="13" spans="2:24" ht="33" customHeight="1" thickBot="1">
      <c r="C13" s="366" t="s">
        <v>180</v>
      </c>
      <c r="D13" s="367"/>
      <c r="E13" s="367"/>
      <c r="F13" s="367"/>
      <c r="G13" s="368"/>
      <c r="H13" s="366" t="s">
        <v>181</v>
      </c>
      <c r="I13" s="367"/>
      <c r="J13" s="367"/>
      <c r="K13" s="367"/>
      <c r="L13" s="368"/>
      <c r="N13" s="358" t="s">
        <v>180</v>
      </c>
      <c r="O13" s="359"/>
      <c r="P13" s="359"/>
      <c r="Q13" s="359"/>
      <c r="R13" s="359"/>
      <c r="S13" s="359"/>
      <c r="T13" s="359"/>
      <c r="U13" s="359"/>
      <c r="V13" s="359"/>
      <c r="W13" s="359"/>
      <c r="X13" s="360"/>
    </row>
    <row r="14" spans="2:24" s="56" customFormat="1" ht="42.6" thickBot="1">
      <c r="B14" s="77" t="s">
        <v>182</v>
      </c>
      <c r="C14" s="78" t="s">
        <v>183</v>
      </c>
      <c r="D14" s="79" t="s">
        <v>184</v>
      </c>
      <c r="E14" s="79" t="s">
        <v>185</v>
      </c>
      <c r="F14" s="79" t="s">
        <v>186</v>
      </c>
      <c r="G14" s="80" t="s">
        <v>187</v>
      </c>
      <c r="H14" s="78" t="s">
        <v>183</v>
      </c>
      <c r="I14" s="79" t="s">
        <v>188</v>
      </c>
      <c r="J14" s="79" t="s">
        <v>189</v>
      </c>
      <c r="K14" s="79" t="s">
        <v>190</v>
      </c>
      <c r="L14" s="80" t="s">
        <v>187</v>
      </c>
      <c r="N14" s="90" t="s">
        <v>191</v>
      </c>
      <c r="O14" s="91" t="s">
        <v>192</v>
      </c>
      <c r="P14" s="91" t="s">
        <v>193</v>
      </c>
      <c r="Q14" s="91" t="s">
        <v>194</v>
      </c>
      <c r="R14" s="91" t="s">
        <v>195</v>
      </c>
      <c r="S14" s="91" t="s">
        <v>196</v>
      </c>
      <c r="T14" s="91" t="s">
        <v>197</v>
      </c>
      <c r="U14" s="91" t="s">
        <v>198</v>
      </c>
      <c r="V14" s="91" t="s">
        <v>199</v>
      </c>
      <c r="W14" s="91" t="s">
        <v>200</v>
      </c>
      <c r="X14" s="92" t="s">
        <v>201</v>
      </c>
    </row>
    <row r="15" spans="2:24" ht="33" customHeight="1">
      <c r="B15" s="31" t="s">
        <v>202</v>
      </c>
      <c r="C15" s="36" t="s">
        <v>203</v>
      </c>
      <c r="D15" s="37">
        <v>89955</v>
      </c>
      <c r="E15" s="37">
        <v>55709</v>
      </c>
      <c r="F15" s="37">
        <v>55709</v>
      </c>
      <c r="G15" s="38">
        <f>D15/F15</f>
        <v>1.6147301154212066</v>
      </c>
      <c r="H15" s="49" t="s">
        <v>203</v>
      </c>
      <c r="I15" s="37">
        <v>35193</v>
      </c>
      <c r="J15" s="37"/>
      <c r="K15" s="37">
        <v>0</v>
      </c>
      <c r="L15" s="38" t="s">
        <v>70</v>
      </c>
      <c r="N15" s="87" t="s">
        <v>204</v>
      </c>
      <c r="O15" s="88">
        <v>10283</v>
      </c>
      <c r="P15" s="88">
        <v>20978</v>
      </c>
      <c r="Q15" s="88">
        <v>26536</v>
      </c>
      <c r="R15" s="88">
        <v>37396</v>
      </c>
      <c r="S15" s="88">
        <v>34724</v>
      </c>
      <c r="T15" s="88">
        <v>28336</v>
      </c>
      <c r="U15" s="88">
        <v>33496.606</v>
      </c>
      <c r="V15" s="88">
        <v>18944.617999999999</v>
      </c>
      <c r="W15" s="88">
        <v>40705.535000000003</v>
      </c>
      <c r="X15" s="89">
        <v>15109</v>
      </c>
    </row>
    <row r="16" spans="2:24" s="56" customFormat="1" ht="33" customHeight="1">
      <c r="B16" s="32" t="s">
        <v>205</v>
      </c>
      <c r="C16" s="39" t="s">
        <v>203</v>
      </c>
      <c r="D16" s="40">
        <v>129748</v>
      </c>
      <c r="E16" s="40">
        <v>113186</v>
      </c>
      <c r="F16" s="40">
        <v>113186</v>
      </c>
      <c r="G16" s="41">
        <f t="shared" ref="G16:G31" si="0">D16/F16</f>
        <v>1.1463255172901243</v>
      </c>
      <c r="H16" s="50" t="s">
        <v>203</v>
      </c>
      <c r="I16" s="40">
        <v>1903686</v>
      </c>
      <c r="J16" s="40"/>
      <c r="K16" s="40">
        <v>0</v>
      </c>
      <c r="L16" s="41" t="s">
        <v>70</v>
      </c>
      <c r="N16" s="68" t="s">
        <v>206</v>
      </c>
      <c r="O16" s="70" t="s">
        <v>207</v>
      </c>
      <c r="P16" s="70" t="s">
        <v>207</v>
      </c>
      <c r="Q16" s="70" t="s">
        <v>203</v>
      </c>
      <c r="R16" s="70" t="s">
        <v>203</v>
      </c>
      <c r="S16" s="70" t="s">
        <v>203</v>
      </c>
      <c r="T16" s="70" t="s">
        <v>203</v>
      </c>
      <c r="U16" s="70" t="s">
        <v>203</v>
      </c>
      <c r="V16" s="70" t="s">
        <v>203</v>
      </c>
      <c r="W16" s="70" t="s">
        <v>203</v>
      </c>
      <c r="X16" s="71" t="s">
        <v>203</v>
      </c>
    </row>
    <row r="17" spans="2:24" ht="33" customHeight="1" thickBot="1">
      <c r="B17" s="32" t="s">
        <v>208</v>
      </c>
      <c r="C17" s="39" t="s">
        <v>203</v>
      </c>
      <c r="D17" s="40">
        <v>263374</v>
      </c>
      <c r="E17" s="40">
        <v>181765</v>
      </c>
      <c r="F17" s="40">
        <v>181765</v>
      </c>
      <c r="G17" s="41">
        <f t="shared" si="0"/>
        <v>1.4489808268918658</v>
      </c>
      <c r="H17" s="50" t="s">
        <v>203</v>
      </c>
      <c r="I17" s="40">
        <v>2053110</v>
      </c>
      <c r="J17" s="40"/>
      <c r="K17" s="40">
        <v>0</v>
      </c>
      <c r="L17" s="41" t="s">
        <v>70</v>
      </c>
      <c r="N17" s="72" t="s">
        <v>209</v>
      </c>
      <c r="O17" s="73" t="s">
        <v>210</v>
      </c>
      <c r="P17" s="73" t="s">
        <v>211</v>
      </c>
      <c r="Q17" s="74" t="s">
        <v>212</v>
      </c>
      <c r="R17" s="74" t="s">
        <v>213</v>
      </c>
      <c r="S17" s="74" t="s">
        <v>214</v>
      </c>
      <c r="T17" s="74" t="s">
        <v>215</v>
      </c>
      <c r="U17" s="73" t="s">
        <v>216</v>
      </c>
      <c r="V17" s="75" t="s">
        <v>217</v>
      </c>
      <c r="W17" s="75" t="s">
        <v>217</v>
      </c>
      <c r="X17" s="76"/>
    </row>
    <row r="18" spans="2:24" ht="33" customHeight="1" thickBot="1">
      <c r="B18" s="33" t="s">
        <v>218</v>
      </c>
      <c r="C18" s="42" t="s">
        <v>203</v>
      </c>
      <c r="D18" s="43">
        <f>SUM(D15:D17)</f>
        <v>483077</v>
      </c>
      <c r="E18" s="43">
        <f t="shared" ref="E18:F18" si="1">SUM(E15:E17)</f>
        <v>350660</v>
      </c>
      <c r="F18" s="43">
        <f t="shared" si="1"/>
        <v>350660</v>
      </c>
      <c r="G18" s="44">
        <f t="shared" si="0"/>
        <v>1.3776221981406491</v>
      </c>
      <c r="H18" s="51" t="s">
        <v>203</v>
      </c>
      <c r="I18" s="43">
        <f>SUM(I15:I17)</f>
        <v>3991989</v>
      </c>
      <c r="J18" s="43">
        <f t="shared" ref="J18:K18" si="2">SUM(J15:J17)</f>
        <v>0</v>
      </c>
      <c r="K18" s="43">
        <f t="shared" si="2"/>
        <v>0</v>
      </c>
      <c r="L18" s="44" t="s">
        <v>70</v>
      </c>
      <c r="N18" s="60"/>
    </row>
    <row r="19" spans="2:24" ht="33" customHeight="1" thickBot="1">
      <c r="B19" s="32" t="s">
        <v>219</v>
      </c>
      <c r="C19" s="39" t="s">
        <v>203</v>
      </c>
      <c r="D19" s="40">
        <v>353664</v>
      </c>
      <c r="E19" s="40">
        <v>273534</v>
      </c>
      <c r="F19" s="40">
        <v>273534</v>
      </c>
      <c r="G19" s="41">
        <f t="shared" si="0"/>
        <v>1.2929434732062559</v>
      </c>
      <c r="H19" s="50" t="s">
        <v>203</v>
      </c>
      <c r="I19" s="40">
        <v>5771819</v>
      </c>
      <c r="J19" s="40">
        <v>1881446</v>
      </c>
      <c r="K19" s="40">
        <v>1881446</v>
      </c>
      <c r="L19" s="41">
        <f t="shared" ref="L19:L31" si="3">I19/K19</f>
        <v>3.0677569273845755</v>
      </c>
      <c r="N19" s="358" t="s">
        <v>181</v>
      </c>
      <c r="O19" s="359"/>
      <c r="P19" s="359"/>
      <c r="Q19" s="359"/>
      <c r="R19" s="359"/>
      <c r="S19" s="359"/>
      <c r="T19" s="359"/>
      <c r="U19" s="359"/>
      <c r="V19" s="359"/>
      <c r="W19" s="359"/>
      <c r="X19" s="360"/>
    </row>
    <row r="20" spans="2:24" ht="33" customHeight="1" thickBot="1">
      <c r="B20" s="32" t="s">
        <v>220</v>
      </c>
      <c r="C20" s="39" t="s">
        <v>203</v>
      </c>
      <c r="D20" s="40">
        <v>366726</v>
      </c>
      <c r="E20" s="40">
        <v>245871</v>
      </c>
      <c r="F20" s="40">
        <v>245871</v>
      </c>
      <c r="G20" s="41">
        <f t="shared" si="0"/>
        <v>1.4915382456654098</v>
      </c>
      <c r="H20" s="50" t="s">
        <v>203</v>
      </c>
      <c r="I20" s="40">
        <v>6914780</v>
      </c>
      <c r="J20" s="40">
        <v>3762892</v>
      </c>
      <c r="K20" s="40">
        <v>3762892</v>
      </c>
      <c r="L20" s="41">
        <f t="shared" si="3"/>
        <v>1.8376238276304502</v>
      </c>
      <c r="N20" s="90" t="s">
        <v>191</v>
      </c>
      <c r="O20" s="91" t="s">
        <v>192</v>
      </c>
      <c r="P20" s="91" t="s">
        <v>193</v>
      </c>
      <c r="Q20" s="91" t="s">
        <v>194</v>
      </c>
      <c r="R20" s="91" t="s">
        <v>195</v>
      </c>
      <c r="S20" s="91" t="s">
        <v>196</v>
      </c>
      <c r="T20" s="91" t="s">
        <v>197</v>
      </c>
      <c r="U20" s="91" t="s">
        <v>198</v>
      </c>
      <c r="V20" s="91" t="s">
        <v>199</v>
      </c>
      <c r="W20" s="91" t="s">
        <v>200</v>
      </c>
      <c r="X20" s="92" t="s">
        <v>201</v>
      </c>
    </row>
    <row r="21" spans="2:24" ht="33" customHeight="1">
      <c r="B21" s="32" t="s">
        <v>221</v>
      </c>
      <c r="C21" s="39" t="s">
        <v>203</v>
      </c>
      <c r="D21" s="40">
        <v>304624</v>
      </c>
      <c r="E21" s="40">
        <v>216495</v>
      </c>
      <c r="F21" s="40">
        <v>216495</v>
      </c>
      <c r="G21" s="41">
        <f t="shared" si="0"/>
        <v>1.4070717568535069</v>
      </c>
      <c r="H21" s="50" t="s">
        <v>203</v>
      </c>
      <c r="I21" s="40">
        <v>6296042</v>
      </c>
      <c r="J21" s="40">
        <v>5644338</v>
      </c>
      <c r="K21" s="40">
        <v>5644338</v>
      </c>
      <c r="L21" s="41">
        <f t="shared" si="3"/>
        <v>1.1154615474835137</v>
      </c>
      <c r="N21" s="87" t="s">
        <v>222</v>
      </c>
      <c r="O21" s="88"/>
      <c r="P21" s="88"/>
      <c r="Q21" s="88"/>
      <c r="R21" s="88">
        <v>1157810</v>
      </c>
      <c r="S21" s="88">
        <v>1836138</v>
      </c>
      <c r="T21" s="88">
        <v>2220590</v>
      </c>
      <c r="U21" s="88">
        <v>824815</v>
      </c>
      <c r="V21" s="88">
        <v>651005</v>
      </c>
      <c r="W21" s="88">
        <v>1667500</v>
      </c>
      <c r="X21" s="89">
        <v>316324</v>
      </c>
    </row>
    <row r="22" spans="2:24" ht="33" customHeight="1">
      <c r="B22" s="33" t="s">
        <v>223</v>
      </c>
      <c r="C22" s="42" t="s">
        <v>203</v>
      </c>
      <c r="D22" s="43">
        <f>SUM(D19:D21)</f>
        <v>1025014</v>
      </c>
      <c r="E22" s="43">
        <f t="shared" ref="E22" si="4">SUM(E19:E21)</f>
        <v>735900</v>
      </c>
      <c r="F22" s="43">
        <f t="shared" ref="F22" si="5">SUM(F19:F21)</f>
        <v>735900</v>
      </c>
      <c r="G22" s="44">
        <f t="shared" si="0"/>
        <v>1.3928713140372333</v>
      </c>
      <c r="H22" s="51" t="s">
        <v>203</v>
      </c>
      <c r="I22" s="43">
        <f>SUM(I19:I21)</f>
        <v>18982641</v>
      </c>
      <c r="J22" s="43">
        <f t="shared" ref="J22:K22" si="6">SUM(J19:J21)</f>
        <v>11288676</v>
      </c>
      <c r="K22" s="43">
        <f t="shared" si="6"/>
        <v>11288676</v>
      </c>
      <c r="L22" s="44">
        <f t="shared" si="3"/>
        <v>1.681564870849336</v>
      </c>
      <c r="N22" s="68" t="s">
        <v>206</v>
      </c>
      <c r="O22" s="70"/>
      <c r="P22" s="70"/>
      <c r="Q22" s="70"/>
      <c r="R22" s="70" t="s">
        <v>203</v>
      </c>
      <c r="S22" s="70" t="s">
        <v>203</v>
      </c>
      <c r="T22" s="70" t="s">
        <v>203</v>
      </c>
      <c r="U22" s="70" t="s">
        <v>203</v>
      </c>
      <c r="V22" s="70" t="s">
        <v>203</v>
      </c>
      <c r="W22" s="70" t="s">
        <v>203</v>
      </c>
      <c r="X22" s="71" t="s">
        <v>203</v>
      </c>
    </row>
    <row r="23" spans="2:24" ht="33" customHeight="1" thickBot="1">
      <c r="B23" s="32" t="s">
        <v>224</v>
      </c>
      <c r="C23" s="45" t="s">
        <v>207</v>
      </c>
      <c r="D23" s="40">
        <v>275564</v>
      </c>
      <c r="E23" s="40">
        <v>223445.99405183073</v>
      </c>
      <c r="F23" s="40">
        <v>223408</v>
      </c>
      <c r="G23" s="41">
        <f t="shared" si="0"/>
        <v>1.2334562773043043</v>
      </c>
      <c r="H23" s="81" t="s">
        <v>207</v>
      </c>
      <c r="I23" s="40">
        <v>6515201</v>
      </c>
      <c r="J23" s="40">
        <v>5194921.4161395058</v>
      </c>
      <c r="K23" s="40">
        <v>5066568</v>
      </c>
      <c r="L23" s="41">
        <f t="shared" si="3"/>
        <v>1.2859199758100552</v>
      </c>
      <c r="N23" s="72" t="s">
        <v>209</v>
      </c>
      <c r="O23" s="73"/>
      <c r="P23" s="73"/>
      <c r="Q23" s="74"/>
      <c r="R23" s="74" t="s">
        <v>213</v>
      </c>
      <c r="S23" s="74" t="s">
        <v>214</v>
      </c>
      <c r="T23" s="74" t="s">
        <v>215</v>
      </c>
      <c r="U23" s="73" t="s">
        <v>216</v>
      </c>
      <c r="V23" s="75"/>
      <c r="W23" s="75"/>
      <c r="X23" s="76"/>
    </row>
    <row r="24" spans="2:24" ht="33" customHeight="1">
      <c r="B24" s="32" t="s">
        <v>225</v>
      </c>
      <c r="C24" s="45" t="s">
        <v>207</v>
      </c>
      <c r="D24" s="40">
        <v>211414</v>
      </c>
      <c r="E24" s="40">
        <v>185278</v>
      </c>
      <c r="F24" s="40">
        <v>180913</v>
      </c>
      <c r="G24" s="41">
        <f t="shared" si="0"/>
        <v>1.1685948494580267</v>
      </c>
      <c r="H24" s="81" t="s">
        <v>207</v>
      </c>
      <c r="I24" s="40">
        <v>6836449</v>
      </c>
      <c r="J24" s="40">
        <v>5433379.4147227583</v>
      </c>
      <c r="K24" s="40">
        <v>5369967</v>
      </c>
      <c r="L24" s="41">
        <f t="shared" si="3"/>
        <v>1.2730895739210315</v>
      </c>
    </row>
    <row r="25" spans="2:24" ht="33" customHeight="1">
      <c r="B25" s="32" t="s">
        <v>226</v>
      </c>
      <c r="C25" s="45" t="s">
        <v>207</v>
      </c>
      <c r="D25" s="40">
        <v>197694</v>
      </c>
      <c r="E25" s="40">
        <v>191603</v>
      </c>
      <c r="F25" s="40">
        <v>174349</v>
      </c>
      <c r="G25" s="41">
        <f t="shared" si="0"/>
        <v>1.13389810093548</v>
      </c>
      <c r="H25" s="81" t="s">
        <v>207</v>
      </c>
      <c r="I25" s="40">
        <v>5868915</v>
      </c>
      <c r="J25" s="40">
        <v>5429061.1936935615</v>
      </c>
      <c r="K25" s="40">
        <v>5369967</v>
      </c>
      <c r="L25" s="41">
        <f t="shared" si="3"/>
        <v>1.092914537463638</v>
      </c>
      <c r="N25" s="60" t="s">
        <v>77</v>
      </c>
    </row>
    <row r="26" spans="2:24" ht="33" customHeight="1">
      <c r="B26" s="32" t="s">
        <v>227</v>
      </c>
      <c r="C26" s="45" t="s">
        <v>207</v>
      </c>
      <c r="D26" s="40">
        <v>91233</v>
      </c>
      <c r="E26" s="40">
        <v>77329</v>
      </c>
      <c r="F26" s="40">
        <v>77329</v>
      </c>
      <c r="G26" s="41">
        <f t="shared" si="0"/>
        <v>1.1798031786263885</v>
      </c>
      <c r="H26" s="81" t="s">
        <v>207</v>
      </c>
      <c r="I26" s="40">
        <v>2947129</v>
      </c>
      <c r="J26" s="40">
        <v>2634576</v>
      </c>
      <c r="K26" s="40">
        <v>2634576</v>
      </c>
      <c r="L26" s="41">
        <f t="shared" si="3"/>
        <v>1.1186350289382427</v>
      </c>
      <c r="N26" s="363" t="s">
        <v>228</v>
      </c>
      <c r="O26" s="364"/>
      <c r="P26" s="364"/>
      <c r="Q26" s="364"/>
      <c r="R26" s="364"/>
      <c r="S26" s="364"/>
      <c r="T26" s="364"/>
      <c r="U26" s="364"/>
      <c r="V26" s="364"/>
      <c r="W26" s="365"/>
    </row>
    <row r="27" spans="2:24" ht="33" customHeight="1">
      <c r="B27" s="33" t="s">
        <v>229</v>
      </c>
      <c r="C27" s="42" t="s">
        <v>207</v>
      </c>
      <c r="D27" s="43">
        <f>SUM(D23:D26)</f>
        <v>775905</v>
      </c>
      <c r="E27" s="43">
        <f t="shared" ref="E27:F27" si="7">SUM(E23:E26)</f>
        <v>677655.99405183073</v>
      </c>
      <c r="F27" s="43">
        <f t="shared" si="7"/>
        <v>655999</v>
      </c>
      <c r="G27" s="44">
        <f t="shared" si="0"/>
        <v>1.1827838152192305</v>
      </c>
      <c r="H27" s="82" t="s">
        <v>207</v>
      </c>
      <c r="I27" s="43">
        <f>SUM(I23:I26)</f>
        <v>22167694</v>
      </c>
      <c r="J27" s="43">
        <f t="shared" ref="J27:K27" si="8">SUM(J23:J26)</f>
        <v>18691938.024555825</v>
      </c>
      <c r="K27" s="43">
        <f t="shared" si="8"/>
        <v>18441078</v>
      </c>
      <c r="L27" s="44">
        <f t="shared" si="3"/>
        <v>1.2020823294603493</v>
      </c>
      <c r="N27" s="369" t="s">
        <v>230</v>
      </c>
      <c r="O27" s="370"/>
      <c r="P27" s="370"/>
      <c r="Q27" s="370"/>
      <c r="R27" s="370"/>
      <c r="S27" s="370"/>
      <c r="T27" s="370"/>
      <c r="U27" s="370"/>
      <c r="V27" s="370"/>
      <c r="W27" s="371"/>
    </row>
    <row r="28" spans="2:24" ht="33" customHeight="1">
      <c r="B28" s="34">
        <v>2018</v>
      </c>
      <c r="C28" s="45" t="s">
        <v>207</v>
      </c>
      <c r="D28" s="40">
        <v>377775</v>
      </c>
      <c r="E28" s="40">
        <v>358145</v>
      </c>
      <c r="F28" s="40">
        <v>358145</v>
      </c>
      <c r="G28" s="41">
        <f t="shared" si="0"/>
        <v>1.0548102025715842</v>
      </c>
      <c r="H28" s="81" t="s">
        <v>207</v>
      </c>
      <c r="I28" s="40">
        <v>7353769</v>
      </c>
      <c r="J28" s="40">
        <v>3716492</v>
      </c>
      <c r="K28" s="40">
        <v>3716492</v>
      </c>
      <c r="L28" s="41">
        <f t="shared" si="3"/>
        <v>1.9786855454014163</v>
      </c>
      <c r="N28" s="61"/>
      <c r="O28" s="61"/>
      <c r="P28" s="61"/>
      <c r="Q28" s="61"/>
      <c r="R28" s="61"/>
      <c r="S28" s="61"/>
      <c r="T28" s="61"/>
      <c r="U28" s="61"/>
      <c r="V28" s="61"/>
      <c r="W28" s="61"/>
    </row>
    <row r="29" spans="2:24" ht="33" customHeight="1">
      <c r="B29" s="34">
        <v>2019</v>
      </c>
      <c r="C29" s="45" t="s">
        <v>207</v>
      </c>
      <c r="D29" s="40">
        <v>344447</v>
      </c>
      <c r="E29" s="40">
        <v>356784</v>
      </c>
      <c r="F29" s="40">
        <v>356663</v>
      </c>
      <c r="G29" s="41">
        <f t="shared" si="0"/>
        <v>0.9657491805990529</v>
      </c>
      <c r="H29" s="81" t="s">
        <v>207</v>
      </c>
      <c r="I29" s="40">
        <v>4188155</v>
      </c>
      <c r="J29" s="40">
        <v>3524551</v>
      </c>
      <c r="K29" s="40">
        <v>3502780</v>
      </c>
      <c r="L29" s="41">
        <f t="shared" si="3"/>
        <v>1.1956660138518549</v>
      </c>
      <c r="N29" s="61"/>
      <c r="O29" s="61"/>
      <c r="P29" s="61"/>
      <c r="Q29" s="61"/>
      <c r="R29" s="61"/>
      <c r="S29" s="61"/>
      <c r="T29" s="61"/>
      <c r="U29" s="61"/>
      <c r="V29" s="61"/>
      <c r="W29" s="61"/>
    </row>
    <row r="30" spans="2:24" ht="33" customHeight="1">
      <c r="B30" s="34">
        <v>2020</v>
      </c>
      <c r="C30" s="45" t="s">
        <v>207</v>
      </c>
      <c r="D30" s="40">
        <v>442517</v>
      </c>
      <c r="E30" s="40">
        <v>378765</v>
      </c>
      <c r="F30" s="40">
        <v>370720</v>
      </c>
      <c r="G30" s="41">
        <f t="shared" si="0"/>
        <v>1.193669076391886</v>
      </c>
      <c r="H30" s="81" t="s">
        <v>207</v>
      </c>
      <c r="I30" s="40">
        <v>4296545</v>
      </c>
      <c r="J30" s="40">
        <v>3074613</v>
      </c>
      <c r="K30" s="83">
        <v>3134293</v>
      </c>
      <c r="L30" s="41">
        <f t="shared" si="3"/>
        <v>1.3708179165125915</v>
      </c>
    </row>
    <row r="31" spans="2:24" ht="33" customHeight="1">
      <c r="B31" s="34">
        <v>2021</v>
      </c>
      <c r="C31" s="45" t="s">
        <v>207</v>
      </c>
      <c r="D31" s="237">
        <v>451995</v>
      </c>
      <c r="E31" s="40">
        <v>418850</v>
      </c>
      <c r="F31" s="40">
        <v>446768</v>
      </c>
      <c r="G31" s="41">
        <f t="shared" si="0"/>
        <v>1.0116995845718584</v>
      </c>
      <c r="H31" s="81" t="s">
        <v>207</v>
      </c>
      <c r="I31" s="40">
        <v>3407124</v>
      </c>
      <c r="J31" s="40">
        <v>3129204</v>
      </c>
      <c r="K31" s="83">
        <v>3209155</v>
      </c>
      <c r="L31" s="41">
        <f t="shared" si="3"/>
        <v>1.0616888246282901</v>
      </c>
    </row>
    <row r="32" spans="2:24" ht="33" customHeight="1">
      <c r="B32" s="33" t="s">
        <v>231</v>
      </c>
      <c r="C32" s="42" t="s">
        <v>207</v>
      </c>
      <c r="D32" s="43">
        <f>SUM(D28:D31)</f>
        <v>1616734</v>
      </c>
      <c r="E32" s="43">
        <f t="shared" ref="E32" si="9">SUM(E28:E31)</f>
        <v>1512544</v>
      </c>
      <c r="F32" s="43">
        <f t="shared" ref="F32" si="10">SUM(F28:F31)</f>
        <v>1532296</v>
      </c>
      <c r="G32" s="44">
        <f>D32/F32</f>
        <v>1.0551055409659753</v>
      </c>
      <c r="H32" s="82" t="s">
        <v>207</v>
      </c>
      <c r="I32" s="84">
        <f>SUM(I28:I31)</f>
        <v>19245593</v>
      </c>
      <c r="J32" s="43">
        <f t="shared" ref="J32:K32" si="11">SUM(J28:J31)</f>
        <v>13444860</v>
      </c>
      <c r="K32" s="43">
        <f t="shared" si="11"/>
        <v>13562720</v>
      </c>
      <c r="L32" s="44">
        <f>I32/K32</f>
        <v>1.4190068806257152</v>
      </c>
    </row>
    <row r="33" spans="2:16" ht="33" customHeight="1">
      <c r="B33" s="34">
        <v>2022</v>
      </c>
      <c r="C33" s="45" t="s">
        <v>207</v>
      </c>
      <c r="D33" s="40">
        <f>216708+153806+86892</f>
        <v>457406</v>
      </c>
      <c r="E33" s="40">
        <f>'1- Ex Ante Results'!E86</f>
        <v>431421.97785644227</v>
      </c>
      <c r="F33" s="40">
        <v>419203</v>
      </c>
      <c r="G33" s="41">
        <f>D33/F33</f>
        <v>1.0911324584986271</v>
      </c>
      <c r="H33" s="81" t="s">
        <v>207</v>
      </c>
      <c r="I33" s="40">
        <f>1926934+2171063</f>
        <v>4097997</v>
      </c>
      <c r="J33" s="40">
        <v>3242620</v>
      </c>
      <c r="K33" s="40">
        <v>3358430</v>
      </c>
      <c r="L33" s="41">
        <f>I33/K33</f>
        <v>1.2202121229264864</v>
      </c>
      <c r="P33" s="240"/>
    </row>
    <row r="34" spans="2:16" ht="33" customHeight="1">
      <c r="B34" s="34">
        <v>2023</v>
      </c>
      <c r="C34" s="45" t="s">
        <v>207</v>
      </c>
      <c r="D34" s="40">
        <v>457158</v>
      </c>
      <c r="E34" s="40">
        <v>438166</v>
      </c>
      <c r="F34" s="40">
        <v>381110</v>
      </c>
      <c r="G34" s="41">
        <f>D34/F34</f>
        <v>1.1995434389021542</v>
      </c>
      <c r="H34" s="81" t="s">
        <v>207</v>
      </c>
      <c r="I34" s="40">
        <v>4301120</v>
      </c>
      <c r="J34" s="40">
        <v>3325705</v>
      </c>
      <c r="K34" s="40">
        <v>3447082</v>
      </c>
      <c r="L34" s="41">
        <f t="shared" ref="L34:L36" si="12">I34/K34</f>
        <v>1.2477567983587277</v>
      </c>
      <c r="P34" s="241"/>
    </row>
    <row r="35" spans="2:16" ht="33" customHeight="1">
      <c r="B35" s="34">
        <v>2024</v>
      </c>
      <c r="C35" s="45" t="s">
        <v>232</v>
      </c>
      <c r="D35" s="40">
        <f>'1- Ex Ante Results'!C86</f>
        <v>302429</v>
      </c>
      <c r="E35" s="40">
        <v>431422</v>
      </c>
      <c r="F35" s="40">
        <v>431422</v>
      </c>
      <c r="G35" s="41">
        <f t="shared" ref="G35:G36" si="13">D35/F35</f>
        <v>0.70100504842126732</v>
      </c>
      <c r="H35" s="81" t="s">
        <v>232</v>
      </c>
      <c r="I35" s="40">
        <f>'1- Ex Ante Results'!H86</f>
        <v>3261929</v>
      </c>
      <c r="J35" s="40">
        <v>3390229</v>
      </c>
      <c r="K35" s="83">
        <v>3508988</v>
      </c>
      <c r="L35" s="41">
        <f t="shared" si="12"/>
        <v>0.9295925206925757</v>
      </c>
    </row>
    <row r="36" spans="2:16" ht="33" customHeight="1">
      <c r="B36" s="34">
        <v>2025</v>
      </c>
      <c r="C36" s="45"/>
      <c r="D36" s="40"/>
      <c r="E36" s="40">
        <v>417175</v>
      </c>
      <c r="F36" s="40">
        <v>417175</v>
      </c>
      <c r="G36" s="41">
        <f t="shared" si="13"/>
        <v>0</v>
      </c>
      <c r="H36" s="81"/>
      <c r="I36" s="40"/>
      <c r="J36" s="40">
        <v>3447993</v>
      </c>
      <c r="K36" s="83">
        <v>3562298</v>
      </c>
      <c r="L36" s="41">
        <f t="shared" si="12"/>
        <v>0</v>
      </c>
    </row>
    <row r="37" spans="2:16" ht="33" customHeight="1" thickBot="1">
      <c r="B37" s="35" t="s">
        <v>233</v>
      </c>
      <c r="C37" s="46" t="s">
        <v>234</v>
      </c>
      <c r="D37" s="47">
        <f>SUM(D33:D36)</f>
        <v>1216993</v>
      </c>
      <c r="E37" s="47">
        <f t="shared" ref="E37" si="14">SUM(E33:E36)</f>
        <v>1718184.9778564423</v>
      </c>
      <c r="F37" s="47">
        <f t="shared" ref="F37" si="15">SUM(F33:F36)</f>
        <v>1648910</v>
      </c>
      <c r="G37" s="48">
        <f>D37/F37</f>
        <v>0.73805908145380883</v>
      </c>
      <c r="H37" s="85" t="s">
        <v>234</v>
      </c>
      <c r="I37" s="86">
        <f>SUM(I33:I36)</f>
        <v>11661046</v>
      </c>
      <c r="J37" s="47">
        <f t="shared" ref="J37:K37" si="16">SUM(J33:J36)</f>
        <v>13406547</v>
      </c>
      <c r="K37" s="47">
        <f t="shared" si="16"/>
        <v>13876798</v>
      </c>
      <c r="L37" s="48">
        <f>I37/K37</f>
        <v>0.84032685350035363</v>
      </c>
    </row>
    <row r="38" spans="2:16" ht="14.45" customHeight="1">
      <c r="B38" s="62"/>
      <c r="C38" s="63"/>
      <c r="D38" s="64"/>
      <c r="E38" s="64"/>
      <c r="F38" s="64"/>
      <c r="G38" s="65"/>
      <c r="H38" s="65"/>
      <c r="I38" s="65"/>
      <c r="J38" s="65"/>
      <c r="K38" s="65"/>
      <c r="L38" s="65"/>
    </row>
    <row r="39" spans="2:16">
      <c r="B39" s="60" t="s">
        <v>77</v>
      </c>
    </row>
    <row r="40" spans="2:16" ht="46.35" customHeight="1">
      <c r="B40" s="362" t="s">
        <v>235</v>
      </c>
      <c r="C40" s="362"/>
      <c r="D40" s="362"/>
      <c r="E40" s="362"/>
      <c r="F40" s="362"/>
      <c r="G40" s="362"/>
      <c r="H40" s="66"/>
      <c r="I40" s="66"/>
      <c r="J40" s="66"/>
      <c r="K40" s="66"/>
      <c r="L40" s="66"/>
    </row>
    <row r="41" spans="2:16" ht="42.75" customHeight="1">
      <c r="B41" s="362" t="s">
        <v>236</v>
      </c>
      <c r="C41" s="362"/>
      <c r="D41" s="362"/>
      <c r="E41" s="362"/>
      <c r="F41" s="362"/>
      <c r="G41" s="362"/>
      <c r="H41" s="66"/>
      <c r="I41" s="66"/>
      <c r="J41" s="66"/>
      <c r="K41" s="66"/>
      <c r="L41" s="66"/>
    </row>
    <row r="42" spans="2:16" ht="42" customHeight="1">
      <c r="B42" s="306" t="s">
        <v>237</v>
      </c>
      <c r="C42" s="306"/>
      <c r="D42" s="306"/>
      <c r="E42" s="306"/>
      <c r="F42" s="306"/>
      <c r="G42" s="306"/>
      <c r="H42" s="67"/>
      <c r="I42" s="67"/>
      <c r="J42" s="67"/>
      <c r="K42" s="67"/>
      <c r="L42" s="67"/>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3 G3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48"/>
  <sheetViews>
    <sheetView zoomScaleNormal="100" workbookViewId="0">
      <pane xSplit="2" ySplit="11" topLeftCell="C12" activePane="bottomRight" state="frozen"/>
      <selection pane="bottomRight" activeCell="C12" sqref="C12"/>
      <selection pane="bottomLeft" activeCell="A12" sqref="A12"/>
      <selection pane="topRight" activeCell="C1" sqref="C1"/>
    </sheetView>
  </sheetViews>
  <sheetFormatPr defaultColWidth="9.140625" defaultRowHeight="14.45"/>
  <cols>
    <col min="1" max="1" width="4.42578125" style="53" customWidth="1"/>
    <col min="2" max="2" width="49.85546875" style="53" customWidth="1"/>
    <col min="3" max="17" width="12.7109375" style="53" customWidth="1"/>
    <col min="18" max="18" width="12.85546875" style="53" customWidth="1"/>
    <col min="19" max="19" width="13.85546875" style="53" customWidth="1"/>
    <col min="20" max="16384" width="9.140625" style="53"/>
  </cols>
  <sheetData>
    <row r="1" spans="2:19">
      <c r="B1" s="54" t="s">
        <v>0</v>
      </c>
    </row>
    <row r="2" spans="2:19">
      <c r="B2" s="54" t="s">
        <v>238</v>
      </c>
    </row>
    <row r="3" spans="2:19">
      <c r="B3" s="54" t="s">
        <v>2</v>
      </c>
    </row>
    <row r="4" spans="2:19">
      <c r="B4" s="54"/>
    </row>
    <row r="5" spans="2:19" ht="22.35" customHeight="1">
      <c r="B5" s="313" t="s">
        <v>239</v>
      </c>
      <c r="C5" s="313"/>
      <c r="D5" s="313"/>
      <c r="E5" s="313"/>
      <c r="F5" s="313"/>
      <c r="G5" s="313"/>
      <c r="H5" s="313"/>
      <c r="I5" s="313"/>
      <c r="J5" s="313"/>
      <c r="K5" s="313"/>
    </row>
    <row r="6" spans="2:19" ht="21" customHeight="1">
      <c r="B6" s="313"/>
      <c r="C6" s="313"/>
      <c r="D6" s="313"/>
      <c r="E6" s="313"/>
      <c r="F6" s="313"/>
      <c r="G6" s="313"/>
      <c r="H6" s="313"/>
      <c r="I6" s="313"/>
      <c r="J6" s="313"/>
      <c r="K6" s="313"/>
    </row>
    <row r="7" spans="2:19" ht="21" customHeight="1">
      <c r="B7" s="313"/>
      <c r="C7" s="313"/>
      <c r="D7" s="313"/>
      <c r="E7" s="313"/>
      <c r="F7" s="313"/>
      <c r="G7" s="313"/>
      <c r="H7" s="313"/>
      <c r="I7" s="313"/>
      <c r="J7" s="313"/>
      <c r="K7" s="313"/>
    </row>
    <row r="8" spans="2:19">
      <c r="B8" s="132"/>
      <c r="C8" s="132"/>
      <c r="D8" s="132"/>
      <c r="E8" s="132"/>
      <c r="F8" s="132"/>
      <c r="G8" s="132"/>
      <c r="H8" s="132"/>
      <c r="I8" s="132"/>
      <c r="J8" s="132"/>
      <c r="K8" s="132"/>
      <c r="L8" s="132"/>
    </row>
    <row r="9" spans="2:19">
      <c r="B9" s="59" t="s">
        <v>240</v>
      </c>
      <c r="C9" s="59"/>
      <c r="D9" s="164"/>
      <c r="E9" s="164"/>
      <c r="F9" s="165"/>
      <c r="G9" s="165"/>
      <c r="H9" s="165"/>
      <c r="I9" s="165"/>
      <c r="J9" s="165"/>
      <c r="K9" s="165"/>
      <c r="L9" s="165"/>
    </row>
    <row r="10" spans="2:19">
      <c r="B10" s="164"/>
      <c r="C10" s="164"/>
      <c r="D10" s="164"/>
      <c r="E10" s="164"/>
      <c r="F10" s="165"/>
      <c r="G10" s="165"/>
      <c r="H10" s="165"/>
      <c r="I10" s="165"/>
      <c r="J10" s="165"/>
      <c r="K10" s="165"/>
      <c r="L10" s="165"/>
    </row>
    <row r="11" spans="2:19" ht="27.95">
      <c r="B11" s="3" t="s">
        <v>241</v>
      </c>
      <c r="C11" s="2" t="s">
        <v>192</v>
      </c>
      <c r="D11" s="2" t="s">
        <v>193</v>
      </c>
      <c r="E11" s="2" t="s">
        <v>194</v>
      </c>
      <c r="F11" s="2" t="s">
        <v>195</v>
      </c>
      <c r="G11" s="2" t="s">
        <v>196</v>
      </c>
      <c r="H11" s="2" t="s">
        <v>197</v>
      </c>
      <c r="I11" s="2" t="s">
        <v>198</v>
      </c>
      <c r="J11" s="2" t="s">
        <v>199</v>
      </c>
      <c r="K11" s="2" t="s">
        <v>200</v>
      </c>
      <c r="L11" s="1" t="s">
        <v>201</v>
      </c>
      <c r="M11" s="1">
        <v>2018</v>
      </c>
      <c r="N11" s="1">
        <v>2019</v>
      </c>
      <c r="O11" s="1">
        <v>2020</v>
      </c>
      <c r="P11" s="1">
        <v>2021</v>
      </c>
      <c r="Q11" s="1">
        <v>2022</v>
      </c>
      <c r="R11" s="1">
        <v>2023</v>
      </c>
      <c r="S11" s="1">
        <v>2024</v>
      </c>
    </row>
    <row r="12" spans="2:19">
      <c r="B12" s="166" t="s">
        <v>242</v>
      </c>
      <c r="C12" s="180">
        <v>100238</v>
      </c>
      <c r="D12" s="180">
        <v>150726</v>
      </c>
      <c r="E12" s="180">
        <v>289910</v>
      </c>
      <c r="F12" s="180">
        <v>391060</v>
      </c>
      <c r="G12" s="180">
        <v>401450</v>
      </c>
      <c r="H12" s="180">
        <v>404319</v>
      </c>
      <c r="I12" s="180">
        <v>379998.60600000003</v>
      </c>
      <c r="J12" s="180">
        <v>452177.61800000002</v>
      </c>
      <c r="K12" s="180">
        <v>440264.53500000003</v>
      </c>
      <c r="L12" s="180">
        <v>106342</v>
      </c>
      <c r="M12" s="181">
        <v>377775</v>
      </c>
      <c r="N12" s="181">
        <v>344447</v>
      </c>
      <c r="O12" s="181">
        <v>442517</v>
      </c>
      <c r="P12" s="181">
        <f>'3- Energy'!D31</f>
        <v>451995</v>
      </c>
      <c r="Q12" s="181">
        <f>'3- Energy'!E33</f>
        <v>431421.97785644227</v>
      </c>
      <c r="R12" s="181">
        <v>442609</v>
      </c>
      <c r="S12" s="181">
        <v>302429</v>
      </c>
    </row>
    <row r="13" spans="2:19">
      <c r="B13" s="166" t="s">
        <v>243</v>
      </c>
      <c r="C13" s="180">
        <v>70883</v>
      </c>
      <c r="D13" s="180">
        <v>106586</v>
      </c>
      <c r="E13" s="180">
        <v>205010</v>
      </c>
      <c r="F13" s="180">
        <v>276538</v>
      </c>
      <c r="G13" s="180">
        <v>283886</v>
      </c>
      <c r="H13" s="180">
        <v>285915</v>
      </c>
      <c r="I13" s="180">
        <v>268717</v>
      </c>
      <c r="J13" s="180">
        <v>306361</v>
      </c>
      <c r="K13" s="180">
        <v>282549</v>
      </c>
      <c r="L13" s="180">
        <v>75200</v>
      </c>
      <c r="M13" s="181">
        <v>267144</v>
      </c>
      <c r="N13" s="181">
        <v>243538</v>
      </c>
      <c r="O13" s="181">
        <v>313509</v>
      </c>
      <c r="P13" s="181">
        <v>312893</v>
      </c>
      <c r="Q13" s="181">
        <v>318113</v>
      </c>
      <c r="R13" s="181">
        <v>313669</v>
      </c>
      <c r="S13" s="181">
        <v>211274</v>
      </c>
    </row>
    <row r="14" spans="2:19">
      <c r="B14" s="166" t="s">
        <v>244</v>
      </c>
      <c r="C14" s="180">
        <v>15050</v>
      </c>
      <c r="D14" s="180">
        <v>22630</v>
      </c>
      <c r="E14" s="180">
        <v>43527</v>
      </c>
      <c r="F14" s="180">
        <v>58713</v>
      </c>
      <c r="G14" s="180">
        <v>60273</v>
      </c>
      <c r="H14" s="180">
        <v>60704</v>
      </c>
      <c r="I14" s="180">
        <v>57052</v>
      </c>
      <c r="J14" s="180">
        <v>65045</v>
      </c>
      <c r="K14" s="180">
        <v>59989</v>
      </c>
      <c r="L14" s="180">
        <v>15966</v>
      </c>
      <c r="M14" s="181">
        <v>56718</v>
      </c>
      <c r="N14" s="181">
        <v>52615</v>
      </c>
      <c r="O14" s="181">
        <v>68182</v>
      </c>
      <c r="P14" s="181">
        <v>68048</v>
      </c>
      <c r="Q14" s="181">
        <v>68543</v>
      </c>
      <c r="R14" s="181">
        <v>69801</v>
      </c>
      <c r="S14" s="181">
        <v>50284</v>
      </c>
    </row>
    <row r="15" spans="2:19">
      <c r="B15" s="166" t="s">
        <v>245</v>
      </c>
      <c r="C15" s="180">
        <v>83424</v>
      </c>
      <c r="D15" s="180">
        <v>125443</v>
      </c>
      <c r="E15" s="180">
        <v>241281</v>
      </c>
      <c r="F15" s="180">
        <v>325464</v>
      </c>
      <c r="G15" s="180">
        <v>334111</v>
      </c>
      <c r="H15" s="180">
        <v>336499</v>
      </c>
      <c r="I15" s="180">
        <v>316259</v>
      </c>
      <c r="J15" s="180">
        <v>360563</v>
      </c>
      <c r="K15" s="180">
        <v>332538</v>
      </c>
      <c r="L15" s="180">
        <v>88504</v>
      </c>
      <c r="M15" s="181">
        <v>314408</v>
      </c>
      <c r="N15" s="181">
        <v>318049</v>
      </c>
      <c r="O15" s="181">
        <v>384104</v>
      </c>
      <c r="P15" s="181">
        <v>383350</v>
      </c>
      <c r="Q15" s="181">
        <v>376466</v>
      </c>
      <c r="R15" s="181">
        <v>374056</v>
      </c>
      <c r="S15" s="181">
        <v>246669</v>
      </c>
    </row>
    <row r="16" spans="2:19">
      <c r="B16" s="166" t="s">
        <v>246</v>
      </c>
      <c r="C16" s="180">
        <v>8488</v>
      </c>
      <c r="D16" s="180">
        <v>12763</v>
      </c>
      <c r="E16" s="180">
        <v>24549</v>
      </c>
      <c r="F16" s="180">
        <v>33114</v>
      </c>
      <c r="G16" s="180">
        <v>33994</v>
      </c>
      <c r="H16" s="180">
        <v>34237</v>
      </c>
      <c r="I16" s="180">
        <v>32178</v>
      </c>
      <c r="J16" s="180">
        <v>36686</v>
      </c>
      <c r="K16" s="180">
        <v>33834</v>
      </c>
      <c r="L16" s="180">
        <v>9005</v>
      </c>
      <c r="M16" s="181">
        <v>31989</v>
      </c>
      <c r="N16" s="181">
        <v>28103</v>
      </c>
      <c r="O16" s="181">
        <v>37754</v>
      </c>
      <c r="P16" s="181">
        <v>37680</v>
      </c>
      <c r="Q16" s="181">
        <v>40070</v>
      </c>
      <c r="R16" s="181">
        <v>39533</v>
      </c>
      <c r="S16" s="181">
        <v>27552</v>
      </c>
    </row>
    <row r="17" spans="2:19">
      <c r="B17" s="167" t="s">
        <v>247</v>
      </c>
      <c r="C17" s="180" t="s">
        <v>248</v>
      </c>
      <c r="D17" s="180" t="s">
        <v>248</v>
      </c>
      <c r="E17" s="180" t="s">
        <v>248</v>
      </c>
      <c r="F17" s="180" t="s">
        <v>248</v>
      </c>
      <c r="G17" s="180" t="s">
        <v>248</v>
      </c>
      <c r="H17" s="180" t="s">
        <v>248</v>
      </c>
      <c r="I17" s="180" t="s">
        <v>248</v>
      </c>
      <c r="J17" s="180" t="s">
        <v>248</v>
      </c>
      <c r="K17" s="180" t="s">
        <v>248</v>
      </c>
      <c r="L17" s="180" t="s">
        <v>248</v>
      </c>
      <c r="M17" s="182" t="s">
        <v>248</v>
      </c>
      <c r="N17" s="182" t="s">
        <v>249</v>
      </c>
      <c r="O17" s="182" t="s">
        <v>249</v>
      </c>
      <c r="P17" s="182" t="s">
        <v>249</v>
      </c>
      <c r="Q17" s="182" t="s">
        <v>249</v>
      </c>
      <c r="R17" s="182" t="s">
        <v>249</v>
      </c>
      <c r="S17" s="182" t="s">
        <v>249</v>
      </c>
    </row>
    <row r="18" spans="2:19" s="56" customFormat="1">
      <c r="B18" s="135" t="s">
        <v>250</v>
      </c>
      <c r="C18" s="183" t="s">
        <v>248</v>
      </c>
      <c r="D18" s="183" t="s">
        <v>248</v>
      </c>
      <c r="E18" s="183" t="s">
        <v>248</v>
      </c>
      <c r="F18" s="183" t="s">
        <v>248</v>
      </c>
      <c r="G18" s="183" t="s">
        <v>248</v>
      </c>
      <c r="H18" s="183" t="s">
        <v>248</v>
      </c>
      <c r="I18" s="183" t="s">
        <v>248</v>
      </c>
      <c r="J18" s="183" t="s">
        <v>248</v>
      </c>
      <c r="K18" s="183" t="s">
        <v>248</v>
      </c>
      <c r="L18" s="180" t="s">
        <v>248</v>
      </c>
      <c r="M18" s="182" t="s">
        <v>248</v>
      </c>
      <c r="N18" s="182" t="s">
        <v>249</v>
      </c>
      <c r="O18" s="182" t="s">
        <v>249</v>
      </c>
      <c r="P18" s="182" t="s">
        <v>249</v>
      </c>
      <c r="Q18" s="182" t="s">
        <v>249</v>
      </c>
      <c r="R18" s="182" t="s">
        <v>249</v>
      </c>
      <c r="S18" s="182" t="s">
        <v>249</v>
      </c>
    </row>
    <row r="19" spans="2:19" s="56" customFormat="1">
      <c r="B19" s="177"/>
      <c r="C19" s="178"/>
      <c r="D19" s="178"/>
      <c r="E19" s="178"/>
      <c r="F19" s="178"/>
      <c r="G19" s="178"/>
      <c r="H19" s="178"/>
      <c r="I19" s="178"/>
      <c r="J19" s="178"/>
      <c r="K19" s="178"/>
      <c r="L19" s="179"/>
    </row>
    <row r="20" spans="2:19" s="56" customFormat="1" ht="27.95">
      <c r="B20" s="3" t="s">
        <v>251</v>
      </c>
      <c r="C20" s="2" t="s">
        <v>192</v>
      </c>
      <c r="D20" s="2" t="s">
        <v>193</v>
      </c>
      <c r="E20" s="2" t="s">
        <v>194</v>
      </c>
      <c r="F20" s="2" t="s">
        <v>195</v>
      </c>
      <c r="G20" s="2" t="s">
        <v>196</v>
      </c>
      <c r="H20" s="2" t="s">
        <v>197</v>
      </c>
      <c r="I20" s="2" t="s">
        <v>198</v>
      </c>
      <c r="J20" s="2" t="s">
        <v>199</v>
      </c>
      <c r="K20" s="2" t="s">
        <v>200</v>
      </c>
      <c r="L20" s="1" t="s">
        <v>201</v>
      </c>
      <c r="M20" s="1">
        <v>2018</v>
      </c>
      <c r="N20" s="1">
        <v>2019</v>
      </c>
      <c r="O20" s="1">
        <v>2020</v>
      </c>
      <c r="P20" s="1">
        <v>2021</v>
      </c>
      <c r="Q20" s="1">
        <v>2022</v>
      </c>
      <c r="R20" s="1">
        <v>2023</v>
      </c>
      <c r="S20" s="1">
        <v>2024</v>
      </c>
    </row>
    <row r="21" spans="2:19" s="56" customFormat="1">
      <c r="B21" s="166" t="s">
        <v>242</v>
      </c>
      <c r="C21" s="180">
        <v>35193</v>
      </c>
      <c r="D21" s="180">
        <v>1903686</v>
      </c>
      <c r="E21" s="180">
        <v>2053110</v>
      </c>
      <c r="F21" s="180">
        <v>6929629</v>
      </c>
      <c r="G21" s="180">
        <v>8750918</v>
      </c>
      <c r="H21" s="180">
        <v>8516632</v>
      </c>
      <c r="I21" s="180">
        <v>7340016</v>
      </c>
      <c r="J21" s="180">
        <v>7487454</v>
      </c>
      <c r="K21" s="180">
        <v>7536415</v>
      </c>
      <c r="L21" s="180">
        <v>3263453</v>
      </c>
      <c r="M21" s="181">
        <v>7353769</v>
      </c>
      <c r="N21" s="181">
        <v>4188155</v>
      </c>
      <c r="O21" s="181">
        <v>4296545</v>
      </c>
      <c r="P21" s="181">
        <v>3407122</v>
      </c>
      <c r="Q21" s="181">
        <v>4137643.38466</v>
      </c>
      <c r="R21" s="181">
        <v>4010582</v>
      </c>
      <c r="S21" s="181">
        <v>3261929</v>
      </c>
    </row>
    <row r="22" spans="2:19" s="56" customFormat="1">
      <c r="B22" s="166" t="s">
        <v>243</v>
      </c>
      <c r="C22" s="180">
        <v>187</v>
      </c>
      <c r="D22" s="180">
        <v>10093</v>
      </c>
      <c r="E22" s="180">
        <v>10886</v>
      </c>
      <c r="F22" s="180">
        <v>36741</v>
      </c>
      <c r="G22" s="180">
        <v>46397</v>
      </c>
      <c r="H22" s="180">
        <v>45155</v>
      </c>
      <c r="I22" s="180">
        <v>38917</v>
      </c>
      <c r="J22" s="180">
        <v>39616</v>
      </c>
      <c r="K22" s="180">
        <v>39875</v>
      </c>
      <c r="L22" s="180">
        <v>17303</v>
      </c>
      <c r="M22" s="181">
        <v>38990</v>
      </c>
      <c r="N22" s="181">
        <v>22160</v>
      </c>
      <c r="O22" s="181">
        <v>22735</v>
      </c>
      <c r="P22" s="181">
        <v>18229</v>
      </c>
      <c r="Q22" s="181">
        <v>21892</v>
      </c>
      <c r="R22" s="250">
        <v>21220</v>
      </c>
      <c r="S22" s="250">
        <v>17259</v>
      </c>
    </row>
    <row r="23" spans="2:19" s="56" customFormat="1">
      <c r="B23" s="166" t="s">
        <v>244</v>
      </c>
      <c r="C23" s="180">
        <v>39.6</v>
      </c>
      <c r="D23" s="180">
        <v>2143</v>
      </c>
      <c r="E23" s="180">
        <v>2331</v>
      </c>
      <c r="F23" s="180">
        <v>7801</v>
      </c>
      <c r="G23" s="180">
        <v>9851</v>
      </c>
      <c r="H23" s="180">
        <v>9587</v>
      </c>
      <c r="I23" s="180">
        <v>8263</v>
      </c>
      <c r="J23" s="180">
        <v>8411</v>
      </c>
      <c r="K23" s="180">
        <v>8466</v>
      </c>
      <c r="L23" s="180">
        <v>3674</v>
      </c>
      <c r="M23" s="181">
        <v>8278</v>
      </c>
      <c r="N23" s="181">
        <v>4787</v>
      </c>
      <c r="O23" s="181">
        <v>4944</v>
      </c>
      <c r="P23" s="181">
        <v>3964</v>
      </c>
      <c r="Q23" s="181">
        <v>4717</v>
      </c>
      <c r="R23" s="250">
        <v>4722</v>
      </c>
      <c r="S23" s="250">
        <v>4108</v>
      </c>
    </row>
    <row r="24" spans="2:19" s="56" customFormat="1">
      <c r="B24" s="166" t="s">
        <v>245</v>
      </c>
      <c r="C24" s="180">
        <v>220</v>
      </c>
      <c r="D24" s="180">
        <v>11879</v>
      </c>
      <c r="E24" s="180">
        <v>12811</v>
      </c>
      <c r="F24" s="180">
        <v>43241</v>
      </c>
      <c r="G24" s="180">
        <v>54606</v>
      </c>
      <c r="H24" s="180">
        <v>53144</v>
      </c>
      <c r="I24" s="180">
        <v>45802</v>
      </c>
      <c r="J24" s="180">
        <v>51737</v>
      </c>
      <c r="K24" s="180">
        <v>52075</v>
      </c>
      <c r="L24" s="180">
        <v>20364</v>
      </c>
      <c r="M24" s="181">
        <v>45888</v>
      </c>
      <c r="N24" s="181">
        <v>28939</v>
      </c>
      <c r="O24" s="181">
        <v>27855</v>
      </c>
      <c r="P24" s="181">
        <v>22334</v>
      </c>
      <c r="Q24" s="181">
        <v>25908</v>
      </c>
      <c r="R24" s="250">
        <v>25305</v>
      </c>
      <c r="S24" s="250">
        <v>20150</v>
      </c>
    </row>
    <row r="25" spans="2:19" s="56" customFormat="1">
      <c r="B25" s="166" t="s">
        <v>246</v>
      </c>
      <c r="C25" s="180">
        <v>22.3</v>
      </c>
      <c r="D25" s="180">
        <v>1209</v>
      </c>
      <c r="E25" s="180">
        <v>1304</v>
      </c>
      <c r="F25" s="180">
        <v>4400</v>
      </c>
      <c r="G25" s="180">
        <v>5556</v>
      </c>
      <c r="H25" s="180">
        <v>5407</v>
      </c>
      <c r="I25" s="180">
        <v>4660</v>
      </c>
      <c r="J25" s="180">
        <v>4571</v>
      </c>
      <c r="K25" s="180">
        <v>4601</v>
      </c>
      <c r="L25" s="180">
        <v>2072</v>
      </c>
      <c r="M25" s="181">
        <v>4669</v>
      </c>
      <c r="N25" s="181">
        <v>2557</v>
      </c>
      <c r="O25" s="181">
        <v>2738</v>
      </c>
      <c r="P25" s="181">
        <v>2195</v>
      </c>
      <c r="Q25" s="181">
        <v>2758</v>
      </c>
      <c r="R25" s="250">
        <v>2674</v>
      </c>
      <c r="S25" s="250">
        <v>2251</v>
      </c>
    </row>
    <row r="26" spans="2:19" s="56" customFormat="1">
      <c r="B26" s="167" t="s">
        <v>247</v>
      </c>
      <c r="C26" s="180" t="s">
        <v>248</v>
      </c>
      <c r="D26" s="180" t="s">
        <v>248</v>
      </c>
      <c r="E26" s="180" t="s">
        <v>248</v>
      </c>
      <c r="F26" s="180" t="s">
        <v>248</v>
      </c>
      <c r="G26" s="180" t="s">
        <v>248</v>
      </c>
      <c r="H26" s="180" t="s">
        <v>248</v>
      </c>
      <c r="I26" s="180" t="s">
        <v>248</v>
      </c>
      <c r="J26" s="180" t="s">
        <v>248</v>
      </c>
      <c r="K26" s="180" t="s">
        <v>248</v>
      </c>
      <c r="L26" s="180" t="s">
        <v>248</v>
      </c>
      <c r="M26" s="182" t="s">
        <v>248</v>
      </c>
      <c r="N26" s="182" t="s">
        <v>249</v>
      </c>
      <c r="O26" s="182" t="s">
        <v>249</v>
      </c>
      <c r="P26" s="182" t="s">
        <v>249</v>
      </c>
      <c r="Q26" s="182" t="s">
        <v>249</v>
      </c>
      <c r="R26" s="182" t="s">
        <v>249</v>
      </c>
      <c r="S26" s="182" t="s">
        <v>249</v>
      </c>
    </row>
    <row r="27" spans="2:19" s="56" customFormat="1">
      <c r="B27" s="135" t="s">
        <v>250</v>
      </c>
      <c r="C27" s="183" t="s">
        <v>248</v>
      </c>
      <c r="D27" s="183" t="s">
        <v>248</v>
      </c>
      <c r="E27" s="183" t="s">
        <v>248</v>
      </c>
      <c r="F27" s="183" t="s">
        <v>248</v>
      </c>
      <c r="G27" s="183" t="s">
        <v>248</v>
      </c>
      <c r="H27" s="183" t="s">
        <v>248</v>
      </c>
      <c r="I27" s="183" t="s">
        <v>248</v>
      </c>
      <c r="J27" s="183" t="s">
        <v>248</v>
      </c>
      <c r="K27" s="183" t="s">
        <v>248</v>
      </c>
      <c r="L27" s="180" t="s">
        <v>248</v>
      </c>
      <c r="M27" s="182" t="s">
        <v>248</v>
      </c>
      <c r="N27" s="182" t="s">
        <v>249</v>
      </c>
      <c r="O27" s="182" t="s">
        <v>249</v>
      </c>
      <c r="P27" s="182" t="s">
        <v>249</v>
      </c>
      <c r="Q27" s="182" t="s">
        <v>249</v>
      </c>
      <c r="R27" s="182" t="s">
        <v>249</v>
      </c>
      <c r="S27" s="182" t="s">
        <v>249</v>
      </c>
    </row>
    <row r="28" spans="2:19" s="56" customFormat="1">
      <c r="B28" s="177"/>
      <c r="C28" s="178"/>
      <c r="D28" s="178"/>
      <c r="E28" s="178"/>
      <c r="F28" s="178"/>
      <c r="G28" s="178"/>
      <c r="H28" s="178"/>
      <c r="I28" s="178"/>
      <c r="J28" s="178"/>
      <c r="K28" s="178"/>
      <c r="L28" s="179"/>
    </row>
    <row r="29" spans="2:19" s="56" customFormat="1" ht="27.95">
      <c r="B29" s="3" t="s">
        <v>252</v>
      </c>
      <c r="C29" s="2" t="s">
        <v>192</v>
      </c>
      <c r="D29" s="2" t="s">
        <v>193</v>
      </c>
      <c r="E29" s="2" t="s">
        <v>194</v>
      </c>
      <c r="F29" s="2" t="s">
        <v>195</v>
      </c>
      <c r="G29" s="2" t="s">
        <v>196</v>
      </c>
      <c r="H29" s="2" t="s">
        <v>197</v>
      </c>
      <c r="I29" s="2" t="s">
        <v>198</v>
      </c>
      <c r="J29" s="2" t="s">
        <v>199</v>
      </c>
      <c r="K29" s="2" t="s">
        <v>200</v>
      </c>
      <c r="L29" s="1" t="s">
        <v>201</v>
      </c>
      <c r="M29" s="1">
        <v>2018</v>
      </c>
      <c r="N29" s="1">
        <v>2019</v>
      </c>
      <c r="O29" s="1">
        <v>2020</v>
      </c>
      <c r="P29" s="1">
        <v>2021</v>
      </c>
      <c r="Q29" s="1">
        <v>2022</v>
      </c>
      <c r="R29" s="1">
        <v>2023</v>
      </c>
      <c r="S29" s="1">
        <v>2024</v>
      </c>
    </row>
    <row r="30" spans="2:19" s="56" customFormat="1">
      <c r="B30" s="166" t="s">
        <v>243</v>
      </c>
      <c r="C30" s="180">
        <f>SUM(C13,C22)</f>
        <v>71070</v>
      </c>
      <c r="D30" s="180">
        <f t="shared" ref="D30:P30" si="0">SUM(D13,D22)</f>
        <v>116679</v>
      </c>
      <c r="E30" s="180">
        <f t="shared" si="0"/>
        <v>215896</v>
      </c>
      <c r="F30" s="180">
        <f t="shared" si="0"/>
        <v>313279</v>
      </c>
      <c r="G30" s="180">
        <f t="shared" si="0"/>
        <v>330283</v>
      </c>
      <c r="H30" s="180">
        <f t="shared" si="0"/>
        <v>331070</v>
      </c>
      <c r="I30" s="180">
        <f t="shared" si="0"/>
        <v>307634</v>
      </c>
      <c r="J30" s="180">
        <f t="shared" si="0"/>
        <v>345977</v>
      </c>
      <c r="K30" s="180">
        <f t="shared" si="0"/>
        <v>322424</v>
      </c>
      <c r="L30" s="180">
        <f t="shared" si="0"/>
        <v>92503</v>
      </c>
      <c r="M30" s="180">
        <f t="shared" si="0"/>
        <v>306134</v>
      </c>
      <c r="N30" s="180">
        <f t="shared" si="0"/>
        <v>265698</v>
      </c>
      <c r="O30" s="180">
        <f t="shared" si="0"/>
        <v>336244</v>
      </c>
      <c r="P30" s="180">
        <f t="shared" si="0"/>
        <v>331122</v>
      </c>
      <c r="Q30" s="180">
        <f t="shared" ref="Q30" si="1">SUM(Q13,Q22)</f>
        <v>340005</v>
      </c>
      <c r="R30" s="180">
        <f>SUM(R13,R22)</f>
        <v>334889</v>
      </c>
      <c r="S30" s="180">
        <f>SUM(S13,S22)</f>
        <v>228533</v>
      </c>
    </row>
    <row r="31" spans="2:19" s="56" customFormat="1">
      <c r="B31" s="166" t="s">
        <v>244</v>
      </c>
      <c r="C31" s="180">
        <f t="shared" ref="C31:P33" si="2">SUM(C14,C23)</f>
        <v>15089.6</v>
      </c>
      <c r="D31" s="180">
        <f t="shared" si="2"/>
        <v>24773</v>
      </c>
      <c r="E31" s="180">
        <f t="shared" si="2"/>
        <v>45858</v>
      </c>
      <c r="F31" s="180">
        <f t="shared" si="2"/>
        <v>66514</v>
      </c>
      <c r="G31" s="180">
        <f t="shared" si="2"/>
        <v>70124</v>
      </c>
      <c r="H31" s="180">
        <f t="shared" si="2"/>
        <v>70291</v>
      </c>
      <c r="I31" s="180">
        <f t="shared" si="2"/>
        <v>65315</v>
      </c>
      <c r="J31" s="180">
        <f t="shared" si="2"/>
        <v>73456</v>
      </c>
      <c r="K31" s="180">
        <f t="shared" si="2"/>
        <v>68455</v>
      </c>
      <c r="L31" s="180">
        <f t="shared" si="2"/>
        <v>19640</v>
      </c>
      <c r="M31" s="180">
        <f t="shared" si="2"/>
        <v>64996</v>
      </c>
      <c r="N31" s="180">
        <f t="shared" si="2"/>
        <v>57402</v>
      </c>
      <c r="O31" s="180">
        <f t="shared" si="2"/>
        <v>73126</v>
      </c>
      <c r="P31" s="180">
        <f t="shared" si="2"/>
        <v>72012</v>
      </c>
      <c r="Q31" s="180">
        <f t="shared" ref="Q31" si="3">SUM(Q14,Q23)</f>
        <v>73260</v>
      </c>
      <c r="R31" s="180">
        <f t="shared" ref="R31:S31" si="4">SUM(R14,R23)</f>
        <v>74523</v>
      </c>
      <c r="S31" s="180">
        <f t="shared" si="4"/>
        <v>54392</v>
      </c>
    </row>
    <row r="32" spans="2:19" s="56" customFormat="1">
      <c r="B32" s="166" t="s">
        <v>245</v>
      </c>
      <c r="C32" s="180">
        <f t="shared" si="2"/>
        <v>83644</v>
      </c>
      <c r="D32" s="180">
        <f t="shared" si="2"/>
        <v>137322</v>
      </c>
      <c r="E32" s="180">
        <f t="shared" si="2"/>
        <v>254092</v>
      </c>
      <c r="F32" s="180">
        <f t="shared" si="2"/>
        <v>368705</v>
      </c>
      <c r="G32" s="180">
        <f t="shared" si="2"/>
        <v>388717</v>
      </c>
      <c r="H32" s="180">
        <f t="shared" si="2"/>
        <v>389643</v>
      </c>
      <c r="I32" s="180">
        <f t="shared" si="2"/>
        <v>362061</v>
      </c>
      <c r="J32" s="180">
        <f t="shared" si="2"/>
        <v>412300</v>
      </c>
      <c r="K32" s="180">
        <f t="shared" si="2"/>
        <v>384613</v>
      </c>
      <c r="L32" s="180">
        <f t="shared" si="2"/>
        <v>108868</v>
      </c>
      <c r="M32" s="180">
        <f t="shared" si="2"/>
        <v>360296</v>
      </c>
      <c r="N32" s="180">
        <f t="shared" si="2"/>
        <v>346988</v>
      </c>
      <c r="O32" s="180">
        <f t="shared" si="2"/>
        <v>411959</v>
      </c>
      <c r="P32" s="180">
        <f t="shared" si="2"/>
        <v>405684</v>
      </c>
      <c r="Q32" s="180">
        <f t="shared" ref="Q32" si="5">SUM(Q15,Q24)</f>
        <v>402374</v>
      </c>
      <c r="R32" s="180">
        <f t="shared" ref="R32:S32" si="6">SUM(R15,R24)</f>
        <v>399361</v>
      </c>
      <c r="S32" s="180">
        <f t="shared" si="6"/>
        <v>266819</v>
      </c>
    </row>
    <row r="33" spans="2:19" s="56" customFormat="1">
      <c r="B33" s="166" t="s">
        <v>246</v>
      </c>
      <c r="C33" s="180">
        <f t="shared" si="2"/>
        <v>8510.2999999999993</v>
      </c>
      <c r="D33" s="180">
        <f t="shared" si="2"/>
        <v>13972</v>
      </c>
      <c r="E33" s="180">
        <f t="shared" si="2"/>
        <v>25853</v>
      </c>
      <c r="F33" s="180">
        <f t="shared" si="2"/>
        <v>37514</v>
      </c>
      <c r="G33" s="180">
        <f t="shared" si="2"/>
        <v>39550</v>
      </c>
      <c r="H33" s="180">
        <f t="shared" si="2"/>
        <v>39644</v>
      </c>
      <c r="I33" s="180">
        <f t="shared" si="2"/>
        <v>36838</v>
      </c>
      <c r="J33" s="180">
        <f t="shared" si="2"/>
        <v>41257</v>
      </c>
      <c r="K33" s="180">
        <f t="shared" si="2"/>
        <v>38435</v>
      </c>
      <c r="L33" s="180">
        <f t="shared" si="2"/>
        <v>11077</v>
      </c>
      <c r="M33" s="180">
        <f t="shared" si="2"/>
        <v>36658</v>
      </c>
      <c r="N33" s="180">
        <f t="shared" si="2"/>
        <v>30660</v>
      </c>
      <c r="O33" s="180">
        <f t="shared" si="2"/>
        <v>40492</v>
      </c>
      <c r="P33" s="180">
        <f t="shared" si="2"/>
        <v>39875</v>
      </c>
      <c r="Q33" s="180">
        <f t="shared" ref="Q33" si="7">SUM(Q16,Q25)</f>
        <v>42828</v>
      </c>
      <c r="R33" s="180">
        <f t="shared" ref="R33:S33" si="8">SUM(R16,R25)</f>
        <v>42207</v>
      </c>
      <c r="S33" s="180">
        <f t="shared" si="8"/>
        <v>29803</v>
      </c>
    </row>
    <row r="34" spans="2:19" s="56" customFormat="1">
      <c r="B34" s="167" t="s">
        <v>247</v>
      </c>
      <c r="C34" s="180" t="s">
        <v>248</v>
      </c>
      <c r="D34" s="180" t="s">
        <v>248</v>
      </c>
      <c r="E34" s="180" t="s">
        <v>248</v>
      </c>
      <c r="F34" s="180" t="s">
        <v>248</v>
      </c>
      <c r="G34" s="180" t="s">
        <v>248</v>
      </c>
      <c r="H34" s="180" t="s">
        <v>248</v>
      </c>
      <c r="I34" s="180" t="s">
        <v>248</v>
      </c>
      <c r="J34" s="180" t="s">
        <v>248</v>
      </c>
      <c r="K34" s="180" t="s">
        <v>248</v>
      </c>
      <c r="L34" s="180" t="s">
        <v>248</v>
      </c>
      <c r="M34" s="180">
        <v>1481</v>
      </c>
      <c r="N34" s="180">
        <v>2955</v>
      </c>
      <c r="O34" s="180">
        <v>4275</v>
      </c>
      <c r="P34" s="180">
        <v>4106</v>
      </c>
      <c r="Q34" s="180">
        <v>3832</v>
      </c>
      <c r="R34" s="180" t="s">
        <v>248</v>
      </c>
      <c r="S34" s="180" t="s">
        <v>248</v>
      </c>
    </row>
    <row r="35" spans="2:19" s="56" customFormat="1">
      <c r="B35" s="135" t="s">
        <v>250</v>
      </c>
      <c r="C35" s="180" t="s">
        <v>248</v>
      </c>
      <c r="D35" s="180" t="s">
        <v>248</v>
      </c>
      <c r="E35" s="180" t="s">
        <v>248</v>
      </c>
      <c r="F35" s="180" t="s">
        <v>248</v>
      </c>
      <c r="G35" s="180" t="s">
        <v>248</v>
      </c>
      <c r="H35" s="180" t="s">
        <v>248</v>
      </c>
      <c r="I35" s="180" t="s">
        <v>248</v>
      </c>
      <c r="J35" s="180" t="s">
        <v>248</v>
      </c>
      <c r="K35" s="180" t="s">
        <v>248</v>
      </c>
      <c r="L35" s="180" t="s">
        <v>248</v>
      </c>
      <c r="M35" s="180" t="s">
        <v>248</v>
      </c>
      <c r="N35" s="180" t="s">
        <v>248</v>
      </c>
      <c r="O35" s="180">
        <v>40330</v>
      </c>
      <c r="P35" s="180">
        <v>45844</v>
      </c>
      <c r="Q35" s="242">
        <v>31564</v>
      </c>
      <c r="R35" s="180">
        <v>35320</v>
      </c>
      <c r="S35" s="180">
        <v>22289</v>
      </c>
    </row>
    <row r="36" spans="2:19">
      <c r="B36" s="168"/>
      <c r="C36" s="169"/>
      <c r="D36" s="169"/>
      <c r="E36" s="169"/>
      <c r="F36" s="169"/>
      <c r="G36" s="170"/>
      <c r="H36" s="170"/>
      <c r="I36" s="170"/>
      <c r="J36" s="169"/>
      <c r="K36" s="169"/>
      <c r="L36" s="171"/>
    </row>
    <row r="37" spans="2:19">
      <c r="B37" s="144" t="s">
        <v>77</v>
      </c>
      <c r="C37" s="168"/>
      <c r="D37" s="144"/>
      <c r="E37" s="144"/>
      <c r="F37" s="172"/>
      <c r="G37" s="173"/>
      <c r="H37" s="173"/>
      <c r="I37" s="173"/>
      <c r="J37" s="172"/>
      <c r="K37" s="172"/>
      <c r="L37" s="174"/>
    </row>
    <row r="38" spans="2:19" ht="29.45" customHeight="1">
      <c r="B38" s="323" t="s">
        <v>253</v>
      </c>
      <c r="C38" s="324"/>
      <c r="D38" s="324"/>
      <c r="E38" s="324"/>
      <c r="F38" s="324"/>
      <c r="G38" s="324"/>
      <c r="H38" s="324"/>
      <c r="I38" s="324"/>
      <c r="J38" s="324"/>
      <c r="K38" s="324"/>
      <c r="L38" s="325"/>
    </row>
    <row r="39" spans="2:19" ht="27.75" customHeight="1">
      <c r="B39" s="323" t="s">
        <v>254</v>
      </c>
      <c r="C39" s="324"/>
      <c r="D39" s="324"/>
      <c r="E39" s="324"/>
      <c r="F39" s="324"/>
      <c r="G39" s="324"/>
      <c r="H39" s="324"/>
      <c r="I39" s="324"/>
      <c r="J39" s="324"/>
      <c r="K39" s="324"/>
      <c r="L39" s="325"/>
    </row>
    <row r="40" spans="2:19" ht="33" customHeight="1">
      <c r="B40" s="323" t="s">
        <v>255</v>
      </c>
      <c r="C40" s="324"/>
      <c r="D40" s="324"/>
      <c r="E40" s="324"/>
      <c r="F40" s="324"/>
      <c r="G40" s="324"/>
      <c r="H40" s="324"/>
      <c r="I40" s="324"/>
      <c r="J40" s="324"/>
      <c r="K40" s="324"/>
      <c r="L40" s="325"/>
    </row>
    <row r="41" spans="2:19" ht="44.25" customHeight="1">
      <c r="B41" s="375" t="s">
        <v>256</v>
      </c>
      <c r="C41" s="375"/>
      <c r="D41" s="375"/>
      <c r="E41" s="375"/>
      <c r="F41" s="375"/>
      <c r="G41" s="375"/>
      <c r="H41" s="375"/>
      <c r="I41" s="375"/>
      <c r="J41" s="375"/>
      <c r="K41" s="375"/>
      <c r="L41" s="375"/>
    </row>
    <row r="42" spans="2:19">
      <c r="B42" s="372" t="s">
        <v>257</v>
      </c>
      <c r="C42" s="373"/>
      <c r="D42" s="373"/>
      <c r="E42" s="373"/>
      <c r="F42" s="373"/>
      <c r="G42" s="373"/>
      <c r="H42" s="373"/>
      <c r="I42" s="373"/>
      <c r="J42" s="373"/>
      <c r="K42" s="373"/>
      <c r="L42" s="374"/>
    </row>
    <row r="43" spans="2:19">
      <c r="B43" s="175"/>
      <c r="C43" s="175"/>
      <c r="D43" s="176"/>
      <c r="E43" s="176"/>
      <c r="F43" s="176"/>
      <c r="G43" s="176"/>
      <c r="H43" s="132"/>
      <c r="I43" s="132"/>
      <c r="J43" s="132"/>
      <c r="K43" s="132"/>
      <c r="L43" s="132"/>
    </row>
    <row r="44" spans="2:19">
      <c r="B44" s="132"/>
      <c r="C44" s="132"/>
      <c r="D44" s="132"/>
      <c r="E44" s="132"/>
      <c r="F44" s="132"/>
      <c r="G44" s="132"/>
      <c r="H44" s="132"/>
      <c r="I44" s="132"/>
      <c r="J44" s="132"/>
      <c r="K44" s="132"/>
      <c r="L44" s="132"/>
    </row>
    <row r="45" spans="2:19">
      <c r="B45" s="132"/>
      <c r="C45" s="132"/>
      <c r="D45" s="132"/>
      <c r="E45" s="132"/>
      <c r="F45" s="132"/>
      <c r="G45" s="132"/>
      <c r="H45" s="132"/>
      <c r="I45" s="132"/>
      <c r="J45" s="132"/>
      <c r="K45" s="132"/>
      <c r="L45" s="132"/>
    </row>
    <row r="46" spans="2:19">
      <c r="B46" s="132"/>
      <c r="C46" s="132"/>
      <c r="D46" s="132"/>
      <c r="E46" s="132"/>
      <c r="F46" s="132"/>
      <c r="G46" s="132"/>
      <c r="H46" s="132"/>
      <c r="I46" s="132"/>
      <c r="J46" s="132"/>
      <c r="K46" s="132"/>
      <c r="L46" s="132"/>
    </row>
    <row r="47" spans="2:19">
      <c r="B47" s="132"/>
      <c r="C47" s="132"/>
      <c r="D47" s="132"/>
      <c r="E47" s="132"/>
      <c r="F47" s="132"/>
      <c r="G47" s="132"/>
      <c r="H47" s="132"/>
      <c r="I47" s="132"/>
      <c r="J47" s="132"/>
      <c r="K47" s="132"/>
      <c r="L47" s="132"/>
    </row>
    <row r="48" spans="2:19">
      <c r="B48" s="132"/>
      <c r="C48" s="132"/>
      <c r="D48" s="132"/>
      <c r="E48" s="132"/>
      <c r="F48" s="132"/>
      <c r="G48" s="132"/>
      <c r="H48" s="132"/>
      <c r="I48" s="132"/>
      <c r="J48" s="132"/>
      <c r="K48" s="132"/>
      <c r="L48" s="132"/>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85" zoomScaleNormal="85" workbookViewId="0"/>
  </sheetViews>
  <sheetFormatPr defaultColWidth="9.140625" defaultRowHeight="14.45"/>
  <cols>
    <col min="1" max="1" width="3.5703125" style="53" customWidth="1"/>
    <col min="2" max="2" width="53.7109375" style="56" customWidth="1"/>
    <col min="3" max="7" width="22.28515625" style="53" customWidth="1"/>
    <col min="8" max="8" width="8.85546875" style="53" customWidth="1"/>
    <col min="9" max="9" width="53.7109375" style="53" customWidth="1"/>
    <col min="10" max="14" width="22.28515625" style="53" customWidth="1"/>
    <col min="15" max="15" width="9.140625" style="53"/>
    <col min="16" max="16" width="53.7109375" style="53" customWidth="1"/>
    <col min="17" max="38" width="22.28515625" style="53" customWidth="1"/>
    <col min="39" max="16384" width="9.140625" style="53"/>
  </cols>
  <sheetData>
    <row r="1" spans="2:21">
      <c r="B1" s="52" t="s">
        <v>0</v>
      </c>
    </row>
    <row r="2" spans="2:21">
      <c r="B2" s="52" t="s">
        <v>258</v>
      </c>
    </row>
    <row r="3" spans="2:21">
      <c r="B3" s="54" t="s">
        <v>83</v>
      </c>
    </row>
    <row r="4" spans="2:21">
      <c r="B4" s="52"/>
    </row>
    <row r="5" spans="2:21" ht="29.25" customHeight="1">
      <c r="B5" s="361" t="s">
        <v>259</v>
      </c>
      <c r="C5" s="361"/>
      <c r="D5" s="361"/>
      <c r="E5" s="361"/>
      <c r="F5" s="361"/>
      <c r="G5" s="361"/>
    </row>
    <row r="6" spans="2:21">
      <c r="B6" s="361"/>
      <c r="C6" s="361"/>
      <c r="D6" s="361"/>
      <c r="E6" s="361"/>
      <c r="F6" s="361"/>
      <c r="G6" s="361"/>
    </row>
    <row r="7" spans="2:21">
      <c r="B7" s="361"/>
      <c r="C7" s="361"/>
      <c r="D7" s="361"/>
      <c r="E7" s="361"/>
      <c r="F7" s="361"/>
      <c r="G7" s="361"/>
    </row>
    <row r="8" spans="2:21">
      <c r="B8" s="361"/>
      <c r="C8" s="361"/>
      <c r="D8" s="361"/>
      <c r="E8" s="361"/>
      <c r="F8" s="361"/>
      <c r="G8" s="361"/>
    </row>
    <row r="9" spans="2:21" ht="42" customHeight="1">
      <c r="B9" s="361"/>
      <c r="C9" s="361"/>
      <c r="D9" s="361"/>
      <c r="E9" s="361"/>
      <c r="F9" s="361"/>
      <c r="G9" s="361"/>
    </row>
    <row r="11" spans="2:21" ht="18">
      <c r="B11" s="57" t="s">
        <v>260</v>
      </c>
      <c r="C11" s="57"/>
      <c r="D11" s="58"/>
      <c r="E11" s="58"/>
      <c r="F11" s="58"/>
      <c r="G11" s="58"/>
    </row>
    <row r="12" spans="2:21" ht="18.600000000000001" thickBot="1">
      <c r="B12" s="57"/>
      <c r="C12" s="57"/>
      <c r="D12" s="58"/>
      <c r="E12" s="58"/>
      <c r="F12" s="58"/>
      <c r="G12" s="58"/>
    </row>
    <row r="13" spans="2:21" ht="15" thickBot="1">
      <c r="B13" s="376" t="s">
        <v>261</v>
      </c>
      <c r="C13" s="377"/>
      <c r="D13" s="377"/>
      <c r="E13" s="377"/>
      <c r="F13" s="377"/>
      <c r="G13" s="378"/>
      <c r="I13" s="376" t="s">
        <v>262</v>
      </c>
      <c r="J13" s="377"/>
      <c r="K13" s="377"/>
      <c r="L13" s="377"/>
      <c r="M13" s="377"/>
      <c r="N13" s="378"/>
      <c r="P13" s="376" t="s">
        <v>263</v>
      </c>
      <c r="Q13" s="377"/>
      <c r="R13" s="377"/>
      <c r="S13" s="377"/>
      <c r="T13" s="377"/>
      <c r="U13" s="378"/>
    </row>
    <row r="14" spans="2:21" s="56" customFormat="1" ht="47.1" customHeight="1">
      <c r="B14" s="216" t="s">
        <v>182</v>
      </c>
      <c r="C14" s="29" t="s">
        <v>264</v>
      </c>
      <c r="D14" s="29" t="s">
        <v>265</v>
      </c>
      <c r="E14" s="29" t="s">
        <v>266</v>
      </c>
      <c r="F14" s="29" t="s">
        <v>267</v>
      </c>
      <c r="G14" s="30" t="s">
        <v>268</v>
      </c>
      <c r="I14" s="216" t="s">
        <v>182</v>
      </c>
      <c r="J14" s="29" t="s">
        <v>264</v>
      </c>
      <c r="K14" s="29" t="s">
        <v>265</v>
      </c>
      <c r="L14" s="29" t="s">
        <v>266</v>
      </c>
      <c r="M14" s="29" t="s">
        <v>267</v>
      </c>
      <c r="N14" s="30" t="s">
        <v>268</v>
      </c>
      <c r="P14" s="216" t="s">
        <v>182</v>
      </c>
      <c r="Q14" s="29" t="s">
        <v>264</v>
      </c>
      <c r="R14" s="29" t="s">
        <v>265</v>
      </c>
      <c r="S14" s="29" t="s">
        <v>266</v>
      </c>
      <c r="T14" s="29" t="s">
        <v>267</v>
      </c>
      <c r="U14" s="30" t="s">
        <v>268</v>
      </c>
    </row>
    <row r="15" spans="2:21" ht="16.5" customHeight="1">
      <c r="B15" s="217" t="s">
        <v>269</v>
      </c>
      <c r="C15" s="221">
        <v>10402128</v>
      </c>
      <c r="D15" s="222">
        <v>2727503</v>
      </c>
      <c r="E15" s="222">
        <f>SUM(C15:D15)</f>
        <v>13129631</v>
      </c>
      <c r="F15" s="222" t="s">
        <v>70</v>
      </c>
      <c r="G15" s="223">
        <f>SUM(E15:F15)</f>
        <v>13129631</v>
      </c>
      <c r="I15" s="217" t="s">
        <v>269</v>
      </c>
      <c r="J15" s="221">
        <v>990371</v>
      </c>
      <c r="K15" s="222">
        <v>0</v>
      </c>
      <c r="L15" s="222">
        <f>SUM(J15:K15)</f>
        <v>990371</v>
      </c>
      <c r="M15" s="222">
        <v>0</v>
      </c>
      <c r="N15" s="223">
        <f>SUM(L15:M15)</f>
        <v>990371</v>
      </c>
      <c r="P15" s="217" t="s">
        <v>269</v>
      </c>
      <c r="Q15" s="221">
        <f>SUM(C15,J15)</f>
        <v>11392499</v>
      </c>
      <c r="R15" s="221">
        <f>SUM(D15,K15)</f>
        <v>2727503</v>
      </c>
      <c r="S15" s="222">
        <f>SUM(Q15:R15)</f>
        <v>14120002</v>
      </c>
      <c r="T15" s="222">
        <f>SUM(F15,M15)</f>
        <v>0</v>
      </c>
      <c r="U15" s="223">
        <f>SUM(S15:T15)</f>
        <v>14120002</v>
      </c>
    </row>
    <row r="16" spans="2:21" s="56" customFormat="1" ht="16.5" customHeight="1">
      <c r="B16" s="217" t="s">
        <v>270</v>
      </c>
      <c r="C16" s="224">
        <v>20869054</v>
      </c>
      <c r="D16" s="225">
        <v>6643233</v>
      </c>
      <c r="E16" s="222">
        <f t="shared" ref="E16:E17" si="0">SUM(C16:D16)</f>
        <v>27512287</v>
      </c>
      <c r="F16" s="225" t="s">
        <v>70</v>
      </c>
      <c r="G16" s="223">
        <f t="shared" ref="G16:G17" si="1">SUM(E16:F16)</f>
        <v>27512287</v>
      </c>
      <c r="I16" s="217" t="s">
        <v>270</v>
      </c>
      <c r="J16" s="224">
        <v>3710637</v>
      </c>
      <c r="K16" s="225">
        <v>0</v>
      </c>
      <c r="L16" s="222">
        <f t="shared" ref="L16:L17" si="2">SUM(J16:K16)</f>
        <v>3710637</v>
      </c>
      <c r="M16" s="225">
        <v>0</v>
      </c>
      <c r="N16" s="223">
        <f t="shared" ref="N16:N17" si="3">SUM(L16:M16)</f>
        <v>3710637</v>
      </c>
      <c r="P16" s="217" t="s">
        <v>270</v>
      </c>
      <c r="Q16" s="221">
        <f t="shared" ref="Q16:Q17" si="4">SUM(C16,J16)</f>
        <v>24579691</v>
      </c>
      <c r="R16" s="221">
        <f t="shared" ref="R16:R17" si="5">SUM(D16,K16)</f>
        <v>6643233</v>
      </c>
      <c r="S16" s="222">
        <f t="shared" ref="S16:S17" si="6">SUM(Q16:R16)</f>
        <v>31222924</v>
      </c>
      <c r="T16" s="222">
        <f t="shared" ref="T16:T17" si="7">SUM(F16,M16)</f>
        <v>0</v>
      </c>
      <c r="U16" s="223">
        <f t="shared" ref="U16:U17" si="8">SUM(S16:T16)</f>
        <v>31222924</v>
      </c>
    </row>
    <row r="17" spans="2:21" ht="16.5" customHeight="1">
      <c r="B17" s="217" t="s">
        <v>271</v>
      </c>
      <c r="C17" s="221">
        <v>32811835</v>
      </c>
      <c r="D17" s="222">
        <v>10070569</v>
      </c>
      <c r="E17" s="222">
        <f t="shared" si="0"/>
        <v>42882404</v>
      </c>
      <c r="F17" s="222" t="s">
        <v>70</v>
      </c>
      <c r="G17" s="223">
        <f t="shared" si="1"/>
        <v>42882404</v>
      </c>
      <c r="I17" s="217" t="s">
        <v>271</v>
      </c>
      <c r="J17" s="221">
        <v>4479640</v>
      </c>
      <c r="K17" s="222">
        <v>0</v>
      </c>
      <c r="L17" s="222">
        <f t="shared" si="2"/>
        <v>4479640</v>
      </c>
      <c r="M17" s="222">
        <v>0</v>
      </c>
      <c r="N17" s="223">
        <f t="shared" si="3"/>
        <v>4479640</v>
      </c>
      <c r="P17" s="217" t="s">
        <v>271</v>
      </c>
      <c r="Q17" s="221">
        <f t="shared" si="4"/>
        <v>37291475</v>
      </c>
      <c r="R17" s="221">
        <f t="shared" si="5"/>
        <v>10070569</v>
      </c>
      <c r="S17" s="222">
        <f t="shared" si="6"/>
        <v>47362044</v>
      </c>
      <c r="T17" s="222">
        <f t="shared" si="7"/>
        <v>0</v>
      </c>
      <c r="U17" s="223">
        <f t="shared" si="8"/>
        <v>47362044</v>
      </c>
    </row>
    <row r="18" spans="2:21" ht="16.5" customHeight="1">
      <c r="B18" s="218" t="s">
        <v>218</v>
      </c>
      <c r="C18" s="226">
        <f>SUM(C15:C17)</f>
        <v>64083017</v>
      </c>
      <c r="D18" s="226">
        <f t="shared" ref="D18:G18" si="9">SUM(D15:D17)</f>
        <v>19441305</v>
      </c>
      <c r="E18" s="226">
        <f t="shared" si="9"/>
        <v>83524322</v>
      </c>
      <c r="F18" s="226">
        <f t="shared" si="9"/>
        <v>0</v>
      </c>
      <c r="G18" s="227">
        <f t="shared" si="9"/>
        <v>83524322</v>
      </c>
      <c r="I18" s="218" t="s">
        <v>218</v>
      </c>
      <c r="J18" s="226">
        <f>SUM(J15:J17)</f>
        <v>9180648</v>
      </c>
      <c r="K18" s="226">
        <f t="shared" ref="K18" si="10">SUM(K15:K17)</f>
        <v>0</v>
      </c>
      <c r="L18" s="226">
        <f t="shared" ref="L18" si="11">SUM(L15:L17)</f>
        <v>9180648</v>
      </c>
      <c r="M18" s="226">
        <f t="shared" ref="M18" si="12">SUM(M15:M17)</f>
        <v>0</v>
      </c>
      <c r="N18" s="227">
        <f t="shared" ref="N18" si="13">SUM(N15:N17)</f>
        <v>9180648</v>
      </c>
      <c r="P18" s="218" t="s">
        <v>218</v>
      </c>
      <c r="Q18" s="226">
        <f>SUM(Q15:Q17)</f>
        <v>73263665</v>
      </c>
      <c r="R18" s="226">
        <f t="shared" ref="R18" si="14">SUM(R15:R17)</f>
        <v>19441305</v>
      </c>
      <c r="S18" s="226">
        <f t="shared" ref="S18" si="15">SUM(S15:S17)</f>
        <v>92704970</v>
      </c>
      <c r="T18" s="226">
        <f t="shared" ref="T18" si="16">SUM(T15:T17)</f>
        <v>0</v>
      </c>
      <c r="U18" s="227">
        <f t="shared" ref="U18" si="17">SUM(U15:U17)</f>
        <v>92704970</v>
      </c>
    </row>
    <row r="19" spans="2:21" ht="16.5" customHeight="1">
      <c r="B19" s="217" t="s">
        <v>272</v>
      </c>
      <c r="C19" s="221">
        <v>38106737</v>
      </c>
      <c r="D19" s="222">
        <v>10366287</v>
      </c>
      <c r="E19" s="222">
        <f>SUM(C19:D19)</f>
        <v>48473024</v>
      </c>
      <c r="F19" s="222" t="s">
        <v>70</v>
      </c>
      <c r="G19" s="223">
        <f>SUM(E19:F19)</f>
        <v>48473024</v>
      </c>
      <c r="I19" s="217" t="s">
        <v>272</v>
      </c>
      <c r="J19" s="221">
        <v>10955117.050000001</v>
      </c>
      <c r="K19" s="222">
        <v>3124552</v>
      </c>
      <c r="L19" s="222">
        <f>SUM(J19:K19)</f>
        <v>14079669.050000001</v>
      </c>
      <c r="M19" s="222">
        <v>0</v>
      </c>
      <c r="N19" s="223">
        <f>SUM(L19:M19)</f>
        <v>14079669.050000001</v>
      </c>
      <c r="P19" s="217" t="s">
        <v>272</v>
      </c>
      <c r="Q19" s="221">
        <f>SUM(C19,J19)</f>
        <v>49061854.049999997</v>
      </c>
      <c r="R19" s="221">
        <f>SUM(D19,K19)</f>
        <v>13490839</v>
      </c>
      <c r="S19" s="222">
        <f>SUM(Q19:R19)</f>
        <v>62552693.049999997</v>
      </c>
      <c r="T19" s="222">
        <f>SUM(F19,M19)</f>
        <v>0</v>
      </c>
      <c r="U19" s="223">
        <f>SUM(S19:T19)</f>
        <v>62552693.049999997</v>
      </c>
    </row>
    <row r="20" spans="2:21" ht="16.5" customHeight="1">
      <c r="B20" s="217" t="s">
        <v>273</v>
      </c>
      <c r="C20" s="221">
        <v>37710086.579999998</v>
      </c>
      <c r="D20" s="222">
        <v>12955815</v>
      </c>
      <c r="E20" s="222">
        <f t="shared" ref="E20:E21" si="18">SUM(C20:D20)</f>
        <v>50665901.579999998</v>
      </c>
      <c r="F20" s="222" t="s">
        <v>70</v>
      </c>
      <c r="G20" s="223">
        <f t="shared" ref="G20:G21" si="19">SUM(E20:F20)</f>
        <v>50665901.579999998</v>
      </c>
      <c r="I20" s="217" t="s">
        <v>273</v>
      </c>
      <c r="J20" s="221">
        <v>11771030.83</v>
      </c>
      <c r="K20" s="222">
        <v>4540401</v>
      </c>
      <c r="L20" s="222">
        <f t="shared" ref="L20:L21" si="20">SUM(J20:K20)</f>
        <v>16311431.83</v>
      </c>
      <c r="M20" s="222">
        <v>0</v>
      </c>
      <c r="N20" s="223">
        <f t="shared" ref="N20:N21" si="21">SUM(L20:M20)</f>
        <v>16311431.83</v>
      </c>
      <c r="P20" s="217" t="s">
        <v>273</v>
      </c>
      <c r="Q20" s="221">
        <f t="shared" ref="Q20:Q21" si="22">SUM(C20,J20)</f>
        <v>49481117.409999996</v>
      </c>
      <c r="R20" s="221">
        <f t="shared" ref="R20:R21" si="23">SUM(D20,K20)</f>
        <v>17496216</v>
      </c>
      <c r="S20" s="222">
        <f ca="1">SUM(Q20:R30)</f>
        <v>0</v>
      </c>
      <c r="T20" s="222">
        <f t="shared" ref="T20:T21" si="24">SUM(F20,M20)</f>
        <v>0</v>
      </c>
      <c r="U20" s="223">
        <f t="shared" ref="U20:U21" ca="1" si="25">SUM(S20:T20)</f>
        <v>66977333.409999996</v>
      </c>
    </row>
    <row r="21" spans="2:21" ht="16.5" customHeight="1">
      <c r="B21" s="217" t="s">
        <v>274</v>
      </c>
      <c r="C21" s="221">
        <v>37398421</v>
      </c>
      <c r="D21" s="222">
        <v>8665054</v>
      </c>
      <c r="E21" s="222">
        <f t="shared" si="18"/>
        <v>46063475</v>
      </c>
      <c r="F21" s="222">
        <v>11304464</v>
      </c>
      <c r="G21" s="223">
        <f t="shared" si="19"/>
        <v>57367939</v>
      </c>
      <c r="I21" s="217" t="s">
        <v>274</v>
      </c>
      <c r="J21" s="221">
        <v>10107643</v>
      </c>
      <c r="K21" s="222">
        <v>5012103</v>
      </c>
      <c r="L21" s="222">
        <f t="shared" si="20"/>
        <v>15119746</v>
      </c>
      <c r="M21" s="222">
        <v>0</v>
      </c>
      <c r="N21" s="223">
        <f t="shared" si="21"/>
        <v>15119746</v>
      </c>
      <c r="P21" s="217" t="s">
        <v>274</v>
      </c>
      <c r="Q21" s="221">
        <f t="shared" si="22"/>
        <v>47506064</v>
      </c>
      <c r="R21" s="221">
        <f t="shared" si="23"/>
        <v>13677157</v>
      </c>
      <c r="S21" s="222">
        <f ca="1">SUM(Q21:R31)</f>
        <v>0</v>
      </c>
      <c r="T21" s="222">
        <f t="shared" si="24"/>
        <v>11304464</v>
      </c>
      <c r="U21" s="223">
        <f t="shared" ca="1" si="25"/>
        <v>72487685</v>
      </c>
    </row>
    <row r="22" spans="2:21" ht="16.5" customHeight="1">
      <c r="B22" s="218" t="s">
        <v>223</v>
      </c>
      <c r="C22" s="226">
        <f>SUM(C19:C21)</f>
        <v>113215244.58</v>
      </c>
      <c r="D22" s="226">
        <f t="shared" ref="D22:G22" si="26">SUM(D19:D21)</f>
        <v>31987156</v>
      </c>
      <c r="E22" s="226">
        <f t="shared" si="26"/>
        <v>145202400.57999998</v>
      </c>
      <c r="F22" s="226">
        <f t="shared" si="26"/>
        <v>11304464</v>
      </c>
      <c r="G22" s="227">
        <f t="shared" si="26"/>
        <v>156506864.57999998</v>
      </c>
      <c r="I22" s="218" t="s">
        <v>223</v>
      </c>
      <c r="J22" s="226">
        <f>SUM(J19:J21)</f>
        <v>32833790.880000003</v>
      </c>
      <c r="K22" s="226">
        <f t="shared" ref="K22" si="27">SUM(K19:K21)</f>
        <v>12677056</v>
      </c>
      <c r="L22" s="226">
        <f t="shared" ref="L22" si="28">SUM(L19:L21)</f>
        <v>45510846.880000003</v>
      </c>
      <c r="M22" s="226">
        <f t="shared" ref="M22" si="29">SUM(M19:M21)</f>
        <v>0</v>
      </c>
      <c r="N22" s="227">
        <f t="shared" ref="N22" si="30">SUM(N19:N21)</f>
        <v>45510846.880000003</v>
      </c>
      <c r="P22" s="218" t="s">
        <v>223</v>
      </c>
      <c r="Q22" s="226">
        <f ca="1">SUM(Q19:Q31)</f>
        <v>0</v>
      </c>
      <c r="R22" s="226">
        <f t="shared" ref="R22" si="31">SUM(R19:R21)</f>
        <v>44664212</v>
      </c>
      <c r="S22" s="226">
        <f t="shared" ref="S22" ca="1" si="32">SUM(S19:S21)</f>
        <v>190713247.45999998</v>
      </c>
      <c r="T22" s="226">
        <f t="shared" ref="T22" si="33">SUM(T19:T21)</f>
        <v>11304464</v>
      </c>
      <c r="U22" s="227">
        <f t="shared" ref="U22" ca="1" si="34">SUM(U19:U21)</f>
        <v>202017711.45999998</v>
      </c>
    </row>
    <row r="23" spans="2:21" ht="16.5" customHeight="1">
      <c r="B23" s="217" t="s">
        <v>275</v>
      </c>
      <c r="C23" s="222">
        <v>45492403.572529398</v>
      </c>
      <c r="D23" s="222">
        <v>11442802</v>
      </c>
      <c r="E23" s="222">
        <f>SUM(C23:D23)</f>
        <v>56935205.572529398</v>
      </c>
      <c r="F23" s="222">
        <v>23079733.54647059</v>
      </c>
      <c r="G23" s="223">
        <f>SUM(E23:F23)</f>
        <v>80014939.118999988</v>
      </c>
      <c r="I23" s="217" t="s">
        <v>275</v>
      </c>
      <c r="J23" s="222">
        <v>11300080.921</v>
      </c>
      <c r="K23" s="222">
        <v>3036995.8499999996</v>
      </c>
      <c r="L23" s="222">
        <f>SUM(J23:K23)</f>
        <v>14337076.771</v>
      </c>
      <c r="M23" s="222">
        <v>0</v>
      </c>
      <c r="N23" s="223">
        <f>SUM(L23:M23)</f>
        <v>14337076.771</v>
      </c>
      <c r="P23" s="217" t="s">
        <v>275</v>
      </c>
      <c r="Q23" s="221">
        <f>SUM(C23,J23)</f>
        <v>56792484.493529394</v>
      </c>
      <c r="R23" s="221">
        <f>SUM(D23,K23)</f>
        <v>14479797.85</v>
      </c>
      <c r="S23" s="222">
        <f ca="1">SUM(Q23:R33)</f>
        <v>0</v>
      </c>
      <c r="T23" s="222">
        <f>SUM(F23,M23)</f>
        <v>23079733.54647059</v>
      </c>
      <c r="U23" s="223">
        <f ca="1">SUM(S23:T23)</f>
        <v>94352015.889999986</v>
      </c>
    </row>
    <row r="24" spans="2:21" ht="16.5" customHeight="1">
      <c r="B24" s="217" t="s">
        <v>276</v>
      </c>
      <c r="C24" s="222">
        <v>40525431.816717699</v>
      </c>
      <c r="D24" s="222">
        <v>3905399.7600000007</v>
      </c>
      <c r="E24" s="222">
        <f t="shared" ref="E24:E25" si="35">SUM(C24:D24)</f>
        <v>44430831.576717697</v>
      </c>
      <c r="F24" s="222">
        <v>30613784.309579305</v>
      </c>
      <c r="G24" s="223">
        <f t="shared" ref="G24:G25" si="36">SUM(E24:F24)</f>
        <v>75044615.886297002</v>
      </c>
      <c r="I24" s="217" t="s">
        <v>276</v>
      </c>
      <c r="J24" s="222">
        <v>11359483.26</v>
      </c>
      <c r="K24" s="222">
        <v>1184458.3700000001</v>
      </c>
      <c r="L24" s="222">
        <f t="shared" ref="L24:L25" si="37">SUM(J24:K24)</f>
        <v>12543941.629999999</v>
      </c>
      <c r="M24" s="222">
        <v>0</v>
      </c>
      <c r="N24" s="223">
        <f t="shared" ref="N24:N25" si="38">SUM(L24:M24)</f>
        <v>12543941.629999999</v>
      </c>
      <c r="P24" s="217" t="s">
        <v>276</v>
      </c>
      <c r="Q24" s="221">
        <f t="shared" ref="Q24:Q25" si="39">SUM(C24,J24)</f>
        <v>51884915.076717697</v>
      </c>
      <c r="R24" s="221">
        <f t="shared" ref="R24:R25" si="40">SUM(D24,K24)</f>
        <v>5089858.1300000008</v>
      </c>
      <c r="S24" s="222">
        <f ca="1">SUM(Q24:R34)</f>
        <v>0</v>
      </c>
      <c r="T24" s="222">
        <f t="shared" ref="T24:T25" si="41">SUM(F24,M24)</f>
        <v>30613784.309579305</v>
      </c>
      <c r="U24" s="223">
        <f t="shared" ref="U24:U25" ca="1" si="42">SUM(S24:T24)</f>
        <v>87588557.516297013</v>
      </c>
    </row>
    <row r="25" spans="2:21" ht="16.5" customHeight="1">
      <c r="B25" s="217" t="s">
        <v>277</v>
      </c>
      <c r="C25" s="222">
        <v>73683243.6438054</v>
      </c>
      <c r="D25" s="222">
        <v>21955334.289999999</v>
      </c>
      <c r="E25" s="222">
        <f t="shared" si="35"/>
        <v>95638577.933805406</v>
      </c>
      <c r="F25" s="222">
        <v>32643055.795471098</v>
      </c>
      <c r="G25" s="223">
        <f t="shared" si="36"/>
        <v>128281633.72927651</v>
      </c>
      <c r="I25" s="217" t="s">
        <v>277</v>
      </c>
      <c r="J25" s="222">
        <v>18866753.113000002</v>
      </c>
      <c r="K25" s="222">
        <v>7373142.9500000002</v>
      </c>
      <c r="L25" s="222">
        <f t="shared" si="37"/>
        <v>26239896.063000001</v>
      </c>
      <c r="M25" s="222">
        <v>0</v>
      </c>
      <c r="N25" s="223">
        <f t="shared" si="38"/>
        <v>26239896.063000001</v>
      </c>
      <c r="P25" s="217" t="s">
        <v>277</v>
      </c>
      <c r="Q25" s="221">
        <f t="shared" si="39"/>
        <v>92549996.756805405</v>
      </c>
      <c r="R25" s="221">
        <f t="shared" si="40"/>
        <v>29328477.239999998</v>
      </c>
      <c r="S25" s="222">
        <f ca="1">SUM(Q25:R35)</f>
        <v>0</v>
      </c>
      <c r="T25" s="222">
        <f t="shared" si="41"/>
        <v>32643055.795471098</v>
      </c>
      <c r="U25" s="223">
        <f t="shared" ca="1" si="42"/>
        <v>154521529.7922765</v>
      </c>
    </row>
    <row r="26" spans="2:21" ht="16.5" customHeight="1" thickBot="1">
      <c r="B26" s="219" t="s">
        <v>229</v>
      </c>
      <c r="C26" s="228">
        <f>SUM(C23:C25)</f>
        <v>159701079.0330525</v>
      </c>
      <c r="D26" s="228">
        <f t="shared" ref="D26:G26" si="43">SUM(D23:D25)</f>
        <v>37303536.049999997</v>
      </c>
      <c r="E26" s="228">
        <f t="shared" si="43"/>
        <v>197004615.08305252</v>
      </c>
      <c r="F26" s="228">
        <f t="shared" si="43"/>
        <v>86336573.651520997</v>
      </c>
      <c r="G26" s="229">
        <f t="shared" si="43"/>
        <v>283341188.73457348</v>
      </c>
      <c r="I26" s="219" t="s">
        <v>229</v>
      </c>
      <c r="J26" s="228">
        <f>SUM(J23:J25)</f>
        <v>41526317.294</v>
      </c>
      <c r="K26" s="228">
        <f t="shared" ref="K26" si="44">SUM(K23:K25)</f>
        <v>11594597.17</v>
      </c>
      <c r="L26" s="228">
        <f t="shared" ref="L26" si="45">SUM(L23:L25)</f>
        <v>53120914.464000002</v>
      </c>
      <c r="M26" s="228">
        <f t="shared" ref="M26" si="46">SUM(M23:M25)</f>
        <v>0</v>
      </c>
      <c r="N26" s="229">
        <f t="shared" ref="N26" si="47">SUM(N23:N25)</f>
        <v>53120914.464000002</v>
      </c>
      <c r="P26" s="219" t="s">
        <v>229</v>
      </c>
      <c r="Q26" s="228">
        <f>SUM(Q33:Q35)</f>
        <v>352903380.67547983</v>
      </c>
      <c r="R26" s="228">
        <f t="shared" ref="R26" si="48">SUM(R23:R25)</f>
        <v>48898133.219999999</v>
      </c>
      <c r="S26" s="228">
        <f t="shared" ref="S26" ca="1" si="49">SUM(S23:S25)</f>
        <v>250125529.5470525</v>
      </c>
      <c r="T26" s="228">
        <f t="shared" ref="T26" si="50">SUM(T23:T25)</f>
        <v>86336573.651520997</v>
      </c>
      <c r="U26" s="229">
        <f t="shared" ref="U26" ca="1" si="51">SUM(U23:U25)</f>
        <v>336462103.19857347</v>
      </c>
    </row>
    <row r="27" spans="2:21" s="56" customFormat="1" ht="47.1" customHeight="1">
      <c r="B27" s="216" t="s">
        <v>182</v>
      </c>
      <c r="C27" s="29" t="s">
        <v>278</v>
      </c>
      <c r="D27" s="29" t="s">
        <v>279</v>
      </c>
      <c r="E27" s="220" t="s">
        <v>21</v>
      </c>
      <c r="F27" s="215"/>
      <c r="G27" s="215"/>
      <c r="I27" s="216" t="s">
        <v>182</v>
      </c>
      <c r="J27" s="29" t="s">
        <v>278</v>
      </c>
      <c r="K27" s="29" t="s">
        <v>279</v>
      </c>
      <c r="L27" s="220" t="s">
        <v>21</v>
      </c>
      <c r="M27" s="215"/>
      <c r="N27" s="215"/>
      <c r="P27" s="216" t="s">
        <v>182</v>
      </c>
      <c r="Q27" s="29" t="s">
        <v>278</v>
      </c>
      <c r="R27" s="29" t="s">
        <v>279</v>
      </c>
      <c r="S27" s="220" t="s">
        <v>21</v>
      </c>
      <c r="T27" s="215"/>
      <c r="U27" s="215"/>
    </row>
    <row r="28" spans="2:21" ht="16.5" customHeight="1">
      <c r="B28" s="69">
        <v>2018</v>
      </c>
      <c r="C28" s="222">
        <v>102247235.25</v>
      </c>
      <c r="D28" s="222">
        <v>98689801</v>
      </c>
      <c r="E28" s="230">
        <f>C28/D28</f>
        <v>1.0360466250205531</v>
      </c>
      <c r="F28" s="64"/>
      <c r="G28" s="64"/>
      <c r="I28" s="69">
        <v>2018</v>
      </c>
      <c r="J28" s="222">
        <v>16960154.43</v>
      </c>
      <c r="K28" s="222">
        <v>15667311.84</v>
      </c>
      <c r="L28" s="230">
        <f>J28/K28</f>
        <v>1.0825184692309029</v>
      </c>
      <c r="M28" s="64"/>
      <c r="N28" s="64"/>
      <c r="P28" s="69">
        <v>2018</v>
      </c>
      <c r="Q28" s="222">
        <f>SUM(C28,J28)</f>
        <v>119207389.68000001</v>
      </c>
      <c r="R28" s="222">
        <f>SUM(D28,K28)</f>
        <v>114357112.84</v>
      </c>
      <c r="S28" s="230">
        <f>Q38/R28</f>
        <v>0</v>
      </c>
      <c r="T28" s="64"/>
      <c r="U28" s="64"/>
    </row>
    <row r="29" spans="2:21" ht="16.5" customHeight="1">
      <c r="B29" s="69">
        <v>2019</v>
      </c>
      <c r="C29" s="222">
        <v>96007537.799999997</v>
      </c>
      <c r="D29" s="222">
        <v>98689801</v>
      </c>
      <c r="E29" s="230">
        <f t="shared" ref="E29:E31" si="52">C29/D29</f>
        <v>0.97282127258519846</v>
      </c>
      <c r="F29" s="64"/>
      <c r="G29" s="64"/>
      <c r="I29" s="69">
        <v>2019</v>
      </c>
      <c r="J29" s="222">
        <v>15095104.890000001</v>
      </c>
      <c r="K29" s="222">
        <v>15360706.439999999</v>
      </c>
      <c r="L29" s="230">
        <f t="shared" ref="L29:L31" si="53">J29/K29</f>
        <v>0.98270902767151647</v>
      </c>
      <c r="M29" s="64"/>
      <c r="N29" s="64"/>
      <c r="P29" s="69">
        <v>2019</v>
      </c>
      <c r="Q29" s="222">
        <f t="shared" ref="Q29:R31" si="54">SUM(C29,J29)</f>
        <v>111102642.69</v>
      </c>
      <c r="R29" s="222">
        <f t="shared" si="54"/>
        <v>114050507.44</v>
      </c>
      <c r="S29" s="230">
        <f>Q39/R29</f>
        <v>0</v>
      </c>
      <c r="T29" s="64"/>
      <c r="U29" s="64"/>
    </row>
    <row r="30" spans="2:21" ht="16.5" customHeight="1">
      <c r="B30" s="69">
        <v>2020</v>
      </c>
      <c r="C30" s="222">
        <v>98400656.209999993</v>
      </c>
      <c r="D30" s="222">
        <v>98689800.997999996</v>
      </c>
      <c r="E30" s="230">
        <f t="shared" si="52"/>
        <v>0.99707016545705807</v>
      </c>
      <c r="F30" s="64"/>
      <c r="G30" s="64"/>
      <c r="I30" s="69">
        <v>2020</v>
      </c>
      <c r="J30" s="222">
        <v>14975163</v>
      </c>
      <c r="K30" s="222">
        <v>15575955.0169142</v>
      </c>
      <c r="L30" s="230">
        <f t="shared" si="53"/>
        <v>0.96142823882954276</v>
      </c>
      <c r="M30" s="64"/>
      <c r="N30" s="64"/>
      <c r="P30" s="69">
        <v>2020</v>
      </c>
      <c r="Q30" s="222">
        <f t="shared" si="54"/>
        <v>113375819.20999999</v>
      </c>
      <c r="R30" s="222">
        <f t="shared" si="54"/>
        <v>114265756.0149142</v>
      </c>
      <c r="S30" s="230">
        <f t="shared" ref="S30:S31" si="55">Q30/R30</f>
        <v>0.9922116928469974</v>
      </c>
      <c r="T30" s="64"/>
      <c r="U30" s="64"/>
    </row>
    <row r="31" spans="2:21" ht="16.5" customHeight="1">
      <c r="B31" s="69">
        <v>2021</v>
      </c>
      <c r="C31" s="222">
        <v>99465648.870000005</v>
      </c>
      <c r="D31" s="222">
        <v>98689801</v>
      </c>
      <c r="E31" s="230">
        <f t="shared" si="52"/>
        <v>1.0078614797287919</v>
      </c>
      <c r="F31" s="64"/>
      <c r="G31" s="64"/>
      <c r="I31" s="69">
        <v>2021</v>
      </c>
      <c r="J31" s="222">
        <v>15033270.055786902</v>
      </c>
      <c r="K31" s="222">
        <v>15731743.369344199</v>
      </c>
      <c r="L31" s="230">
        <f t="shared" si="53"/>
        <v>0.95560102290262483</v>
      </c>
      <c r="M31" s="64"/>
      <c r="N31" s="64"/>
      <c r="P31" s="69">
        <v>2021</v>
      </c>
      <c r="Q31" s="222">
        <f t="shared" si="54"/>
        <v>114498918.92578691</v>
      </c>
      <c r="R31" s="222">
        <f t="shared" si="54"/>
        <v>114421544.3693442</v>
      </c>
      <c r="S31" s="230">
        <f t="shared" si="55"/>
        <v>1.0006762236680966</v>
      </c>
      <c r="T31" s="64"/>
      <c r="U31" s="64"/>
    </row>
    <row r="32" spans="2:21" ht="16.5" customHeight="1" thickBot="1">
      <c r="B32" s="219" t="s">
        <v>231</v>
      </c>
      <c r="C32" s="228">
        <f>SUM(C28:C31)</f>
        <v>396121078.13</v>
      </c>
      <c r="D32" s="228">
        <f>SUM(D28:D31)</f>
        <v>394759203.99800003</v>
      </c>
      <c r="E32" s="231">
        <f>C32/D32</f>
        <v>1.0034498856979326</v>
      </c>
      <c r="F32" s="64"/>
      <c r="G32" s="64"/>
      <c r="I32" s="219" t="s">
        <v>231</v>
      </c>
      <c r="J32" s="228">
        <f>SUM(J28:J31)</f>
        <v>62063692.375786901</v>
      </c>
      <c r="K32" s="228">
        <f>SUM(K28:K31)</f>
        <v>62335716.666258402</v>
      </c>
      <c r="L32" s="231">
        <f>J32/K32</f>
        <v>0.99563614080306639</v>
      </c>
      <c r="M32" s="64"/>
      <c r="N32" s="64"/>
      <c r="P32" s="219" t="s">
        <v>231</v>
      </c>
      <c r="Q32" s="228">
        <f ca="1">SUM(Q31:Q38)</f>
        <v>0</v>
      </c>
      <c r="R32" s="228">
        <f>SUM(R28:R31)</f>
        <v>457094920.66425836</v>
      </c>
      <c r="S32" s="231">
        <f ca="1">Q32/R32</f>
        <v>1.002384296548176</v>
      </c>
      <c r="T32" s="64"/>
      <c r="U32" s="64"/>
    </row>
    <row r="33" spans="2:21" ht="14.45" customHeight="1">
      <c r="B33" s="69">
        <v>2022</v>
      </c>
      <c r="C33" s="247">
        <v>103997826.45</v>
      </c>
      <c r="D33" s="222">
        <v>119489180</v>
      </c>
      <c r="E33" s="230">
        <f>C33/D33</f>
        <v>0.8703535035557195</v>
      </c>
      <c r="F33" s="64"/>
      <c r="G33" s="64"/>
      <c r="I33" s="69">
        <v>2022</v>
      </c>
      <c r="J33" s="247">
        <v>15503826.17</v>
      </c>
      <c r="K33" s="222">
        <v>16295291</v>
      </c>
      <c r="L33" s="230">
        <f>J33/K33</f>
        <v>0.95142984375056572</v>
      </c>
      <c r="M33" s="64"/>
      <c r="N33" s="64"/>
      <c r="P33" s="69">
        <v>2022</v>
      </c>
      <c r="Q33" s="222">
        <f>SUM(C33,J33)</f>
        <v>119501652.62</v>
      </c>
      <c r="R33" s="222">
        <f>SUM(D33,K33)</f>
        <v>135784471</v>
      </c>
      <c r="S33" s="230">
        <f>Q33/R33</f>
        <v>0.88008335371428448</v>
      </c>
      <c r="T33" s="64"/>
      <c r="U33" s="64"/>
    </row>
    <row r="34" spans="2:21">
      <c r="B34" s="69">
        <v>2023</v>
      </c>
      <c r="C34" s="222">
        <v>123091264.47</v>
      </c>
      <c r="D34" s="222">
        <v>118701009</v>
      </c>
      <c r="E34" s="230">
        <f t="shared" ref="E34:E36" si="56">C34/D34</f>
        <v>1.0369858310976952</v>
      </c>
      <c r="I34" s="69">
        <v>2023</v>
      </c>
      <c r="J34" s="222">
        <v>17171631.370000001</v>
      </c>
      <c r="K34" s="222">
        <v>16433133</v>
      </c>
      <c r="L34" s="230">
        <f t="shared" ref="L34:L36" si="57">J34/K34</f>
        <v>1.0449395967281467</v>
      </c>
      <c r="P34" s="69">
        <v>2023</v>
      </c>
      <c r="Q34" s="222">
        <f t="shared" ref="Q34:R36" si="58">SUM(C34,J34)</f>
        <v>140262895.84</v>
      </c>
      <c r="R34" s="222">
        <f t="shared" si="58"/>
        <v>135134142</v>
      </c>
      <c r="S34" s="230">
        <f t="shared" ref="S34:S36" si="59">Q34/R34</f>
        <v>1.0379530573406091</v>
      </c>
    </row>
    <row r="35" spans="2:21">
      <c r="B35" s="69">
        <v>2024</v>
      </c>
      <c r="C35" s="222">
        <f>'2- Costs'!C30</f>
        <v>81282687.301419586</v>
      </c>
      <c r="D35" s="222">
        <v>118701009</v>
      </c>
      <c r="E35" s="230">
        <f t="shared" si="56"/>
        <v>0.68476829292512231</v>
      </c>
      <c r="I35" s="69">
        <v>2024</v>
      </c>
      <c r="J35" s="222">
        <f>'2- Costs'!D30</f>
        <v>11856144.914060216</v>
      </c>
      <c r="K35" s="222">
        <v>16624870</v>
      </c>
      <c r="L35" s="230">
        <f t="shared" si="57"/>
        <v>0.71315715034524885</v>
      </c>
      <c r="P35" s="69">
        <v>2024</v>
      </c>
      <c r="Q35" s="222">
        <f t="shared" si="58"/>
        <v>93138832.215479806</v>
      </c>
      <c r="R35" s="222">
        <f t="shared" si="58"/>
        <v>135325879</v>
      </c>
      <c r="S35" s="230">
        <f t="shared" si="59"/>
        <v>0.68825588205105848</v>
      </c>
    </row>
    <row r="36" spans="2:21">
      <c r="B36" s="69">
        <v>2025</v>
      </c>
      <c r="C36" s="222"/>
      <c r="D36" s="222">
        <v>118701009</v>
      </c>
      <c r="E36" s="230">
        <f t="shared" si="56"/>
        <v>0</v>
      </c>
      <c r="I36" s="69">
        <v>2025</v>
      </c>
      <c r="J36" s="222"/>
      <c r="K36" s="222">
        <v>16701258</v>
      </c>
      <c r="L36" s="230">
        <f t="shared" si="57"/>
        <v>0</v>
      </c>
      <c r="P36" s="69">
        <v>2025</v>
      </c>
      <c r="Q36" s="222">
        <f t="shared" si="58"/>
        <v>0</v>
      </c>
      <c r="R36" s="222">
        <f t="shared" si="58"/>
        <v>135402267</v>
      </c>
      <c r="S36" s="230">
        <f t="shared" si="59"/>
        <v>0</v>
      </c>
    </row>
    <row r="37" spans="2:21" ht="15" thickBot="1">
      <c r="B37" s="219" t="s">
        <v>233</v>
      </c>
      <c r="C37" s="228">
        <f>SUM(C33:C36)</f>
        <v>308371778.22141957</v>
      </c>
      <c r="D37" s="228">
        <f>SUM(D33:D36)</f>
        <v>475592207</v>
      </c>
      <c r="E37" s="231">
        <f>C37/D37</f>
        <v>0.64839535569055184</v>
      </c>
      <c r="I37" s="219" t="s">
        <v>233</v>
      </c>
      <c r="J37" s="228">
        <f>SUM(J33:J36)</f>
        <v>44531602.454060212</v>
      </c>
      <c r="K37" s="228">
        <f>SUM(K33:K36)</f>
        <v>66054552</v>
      </c>
      <c r="L37" s="231">
        <f>J37/K37</f>
        <v>0.67416402209586124</v>
      </c>
      <c r="P37" s="219" t="s">
        <v>233</v>
      </c>
      <c r="Q37" s="228">
        <f>SUM(Q33:Q36)</f>
        <v>352903380.67547983</v>
      </c>
      <c r="R37" s="228">
        <f>SUM(R33:R36)</f>
        <v>541646759</v>
      </c>
      <c r="S37" s="231">
        <f>Q37/R37</f>
        <v>0.65153787927581752</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19 Q18:R18 R22 R32 T23:T25 T15 J18:N18 L22:N22 S22 S26" formula="1"/>
    <ignoredError sqref="E28:E37 S30: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20" ma:contentTypeDescription="Create a new document." ma:contentTypeScope="" ma:versionID="2232f83691b08a021b90ad2d339bc6ea">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75c1e523e13ccc8c40d29b3c16737088"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DateTaken" ma:index="2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E2CB1D-3061-4333-83FD-8FD131D6D8B7}"/>
</file>

<file path=customXml/itemProps2.xml><?xml version="1.0" encoding="utf-8"?>
<ds:datastoreItem xmlns:ds="http://schemas.openxmlformats.org/officeDocument/2006/customXml" ds:itemID="{E0E591DD-C776-4C3D-95B4-3ADF6DF919EA}"/>
</file>

<file path=customXml/itemProps3.xml><?xml version="1.0" encoding="utf-8"?>
<ds:datastoreItem xmlns:ds="http://schemas.openxmlformats.org/officeDocument/2006/customXml" ds:itemID="{5310C7E2-4C81-46E0-B84F-7DEBDE3B477A}"/>
</file>

<file path=docProps/app.xml><?xml version="1.0" encoding="utf-8"?>
<Properties xmlns="http://schemas.openxmlformats.org/officeDocument/2006/extended-properties" xmlns:vt="http://schemas.openxmlformats.org/officeDocument/2006/docPropsVTypes">
  <Application>Microsoft Excel Online</Application>
  <Manager/>
  <Company>Exelon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
  <cp:revision/>
  <dcterms:created xsi:type="dcterms:W3CDTF">2016-11-04T16:24:21Z</dcterms:created>
  <dcterms:modified xsi:type="dcterms:W3CDTF">2025-02-14T13:53:03Z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