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9585" yWindow="-15" windowWidth="9630" windowHeight="11640" tabRatio="685"/>
  </bookViews>
  <sheets>
    <sheet name="SPCFL" sheetId="14" r:id="rId1"/>
    <sheet name="SensIt Tornado KWH" sheetId="26" r:id="rId2"/>
    <sheet name="SensIt Tornado kW" sheetId="27" r:id="rId3"/>
    <sheet name="Lookups" sheetId="18" r:id="rId4"/>
    <sheet name="Loadshapes" sheetId="17" r:id="rId5"/>
  </sheets>
  <definedNames>
    <definedName name="_xlnm.Print_Area" localSheetId="2">'SensIt Tornado kW'!$A$1:$I$47</definedName>
    <definedName name="_xlnm.Print_Area" localSheetId="1">'SensIt Tornado KWH'!$A$1:$I$47</definedName>
    <definedName name="SensItManyInOneOutRefEditBaseCase" localSheetId="0" hidden="1">SPCFL!$T$47:$T$56</definedName>
    <definedName name="SensItManyInOneOutRefEditInputLabels" localSheetId="0" hidden="1">SPCFL!$C$47:$C$56</definedName>
    <definedName name="SensItManyInOneOutRefEditInputValues" localSheetId="0" hidden="1">SPCFL!$H$47:$H$56</definedName>
    <definedName name="SensItManyInOneOutRefEditOneExtreme" localSheetId="0" hidden="1">SPCFL!$S$47:$S$56</definedName>
    <definedName name="SensItManyInOneOutRefEditOtherExtreme" localSheetId="0" hidden="1">SPCFL!$U$47:$U$56</definedName>
    <definedName name="SensItManyInOneOutRefEditOutputLabel" localSheetId="0" hidden="1">SPCFL!$O$41</definedName>
    <definedName name="SensItManyInOneOutRefEditOutputValue" localSheetId="0" hidden="1">SPCFL!$N$41</definedName>
  </definedNames>
  <calcPr calcId="145621"/>
</workbook>
</file>

<file path=xl/calcChain.xml><?xml version="1.0" encoding="utf-8"?>
<calcChain xmlns="http://schemas.openxmlformats.org/spreadsheetml/2006/main">
  <c r="D115" i="14" l="1"/>
  <c r="F93" i="14"/>
  <c r="T53" i="14" l="1"/>
  <c r="U52" i="14"/>
  <c r="T52" i="14"/>
  <c r="S52" i="14"/>
  <c r="T50" i="14"/>
  <c r="B153" i="14"/>
  <c r="B154" i="14"/>
  <c r="B155" i="14"/>
  <c r="B156" i="14"/>
  <c r="B150" i="14"/>
  <c r="B151" i="14"/>
  <c r="B152" i="14"/>
  <c r="G47" i="14"/>
  <c r="D26" i="14"/>
  <c r="H47" i="14" l="1"/>
  <c r="E142" i="14"/>
  <c r="D17" i="14" l="1"/>
  <c r="D116" i="14" l="1"/>
  <c r="F83" i="14" s="1"/>
  <c r="E83" i="14" s="1"/>
  <c r="H87" i="14"/>
  <c r="H89" i="14"/>
  <c r="H90" i="14"/>
  <c r="H91" i="14"/>
  <c r="H92" i="14"/>
  <c r="H94" i="14"/>
  <c r="H95" i="14"/>
  <c r="H51" i="14" s="1"/>
  <c r="E116" i="14"/>
  <c r="E115" i="14"/>
  <c r="H93" i="14" s="1"/>
  <c r="E114" i="14"/>
  <c r="H88" i="14" s="1"/>
  <c r="F95" i="14"/>
  <c r="E95" i="14" s="1"/>
  <c r="H52" i="14" s="1"/>
  <c r="F94" i="14"/>
  <c r="E94" i="14" s="1"/>
  <c r="F92" i="14"/>
  <c r="E92" i="14" s="1"/>
  <c r="F91" i="14"/>
  <c r="E91" i="14" s="1"/>
  <c r="F90" i="14"/>
  <c r="E90" i="14" s="1"/>
  <c r="F89" i="14"/>
  <c r="E89" i="14" s="1"/>
  <c r="F87" i="14"/>
  <c r="E87" i="14" s="1"/>
  <c r="E93" i="14"/>
  <c r="D114" i="14"/>
  <c r="F88" i="14" s="1"/>
  <c r="E88" i="14" s="1"/>
  <c r="N43" i="14" l="1"/>
  <c r="N42" i="14"/>
  <c r="H86" i="14"/>
  <c r="F86" i="14"/>
  <c r="E86" i="14" s="1"/>
  <c r="H83" i="14"/>
  <c r="N41" i="14" l="1"/>
  <c r="P41" i="14" l="1"/>
</calcChain>
</file>

<file path=xl/sharedStrings.xml><?xml version="1.0" encoding="utf-8"?>
<sst xmlns="http://schemas.openxmlformats.org/spreadsheetml/2006/main" count="417" uniqueCount="310">
  <si>
    <t>#</t>
  </si>
  <si>
    <t>Measure Characterization Element</t>
  </si>
  <si>
    <t>Measure Description</t>
  </si>
  <si>
    <t>Measure Eligibility Criteria</t>
  </si>
  <si>
    <t>Algorithm Specification</t>
  </si>
  <si>
    <t>Baseline Criteria &amp; Definition</t>
  </si>
  <si>
    <t>Measure Life</t>
  </si>
  <si>
    <t>Loadshape(s)</t>
  </si>
  <si>
    <t>Persistence</t>
  </si>
  <si>
    <t>Net to Gross Ratio</t>
  </si>
  <si>
    <t>Cost Characterization</t>
  </si>
  <si>
    <t>Incentive</t>
  </si>
  <si>
    <r>
      <t>Adjustments</t>
    </r>
    <r>
      <rPr>
        <b/>
        <vertAlign val="superscript"/>
        <sz val="10"/>
        <color rgb="FFFFFFFF"/>
        <rFont val="Garamond"/>
        <family val="1"/>
      </rPr>
      <t>1</t>
    </r>
    <r>
      <rPr>
        <b/>
        <sz val="10"/>
        <color rgb="FFFFFFFF"/>
        <rFont val="Garamond"/>
        <family val="1"/>
      </rPr>
      <t xml:space="preserve"> and/or Additional Inputs for Retrofit Measures (Where baselines change part way through the measure life.)</t>
    </r>
  </si>
  <si>
    <t>Remaining years of existing equipment</t>
  </si>
  <si>
    <t>Adjustment to the savings estimate.</t>
  </si>
  <si>
    <t>Variable Value</t>
  </si>
  <si>
    <t>Variable Unit</t>
  </si>
  <si>
    <t>Source</t>
  </si>
  <si>
    <t>Equation kWh</t>
  </si>
  <si>
    <t>Equation Gallons</t>
  </si>
  <si>
    <t>Output Value</t>
  </si>
  <si>
    <t>Residential Time of Sale</t>
  </si>
  <si>
    <t>Hours</t>
  </si>
  <si>
    <t xml:space="preserve">Variable </t>
  </si>
  <si>
    <t>Variable Definition</t>
  </si>
  <si>
    <t>kWh</t>
  </si>
  <si>
    <t>%</t>
  </si>
  <si>
    <t>Value</t>
  </si>
  <si>
    <t>Unit</t>
  </si>
  <si>
    <t>Years</t>
  </si>
  <si>
    <t>DHW</t>
  </si>
  <si>
    <t>$</t>
  </si>
  <si>
    <t>MMBtu</t>
  </si>
  <si>
    <t>kW</t>
  </si>
  <si>
    <t>Equation Summer Peak kW</t>
  </si>
  <si>
    <t>Additional Documentation</t>
  </si>
  <si>
    <t>Incremental Cost (Time of Replacement or New Construction)</t>
  </si>
  <si>
    <t>Full Cost (Retrofit)</t>
  </si>
  <si>
    <t>Descriptions</t>
  </si>
  <si>
    <t>Output Unit</t>
  </si>
  <si>
    <t>Deemed or Example</t>
  </si>
  <si>
    <t>Freerider Rate</t>
  </si>
  <si>
    <t>Spillover Rate</t>
  </si>
  <si>
    <t>Market</t>
  </si>
  <si>
    <t>End Use Type</t>
  </si>
  <si>
    <t xml:space="preserve">O&amp;M - Baseline Component 1 Life </t>
  </si>
  <si>
    <t xml:space="preserve">O&amp;M - Baseline Component 1 Cost </t>
  </si>
  <si>
    <t xml:space="preserve">O&amp;M - Baseline Component 2 Life </t>
  </si>
  <si>
    <t xml:space="preserve">O&amp;M - Baseline Component 2 Cost </t>
  </si>
  <si>
    <t xml:space="preserve">O&amp;M - Efficient Component 1 Life </t>
  </si>
  <si>
    <t xml:space="preserve">O&amp;M - Efficient Component 1 Cost </t>
  </si>
  <si>
    <t xml:space="preserve">O&amp;M - Efficient Component 2 Life </t>
  </si>
  <si>
    <t xml:space="preserve">O&amp;M - Efficient Component 2 Cost </t>
  </si>
  <si>
    <t>Cost of replacing equipment w/ new baseline unit</t>
  </si>
  <si>
    <t>V1</t>
  </si>
  <si>
    <t>V2</t>
  </si>
  <si>
    <t>V3</t>
  </si>
  <si>
    <t>V4</t>
  </si>
  <si>
    <t>V5</t>
  </si>
  <si>
    <t>V6</t>
  </si>
  <si>
    <t>V7</t>
  </si>
  <si>
    <t>V8</t>
  </si>
  <si>
    <t>V9</t>
  </si>
  <si>
    <t>V10</t>
  </si>
  <si>
    <t>V11</t>
  </si>
  <si>
    <t>V12</t>
  </si>
  <si>
    <t>V13</t>
  </si>
  <si>
    <t>V14</t>
  </si>
  <si>
    <t>V15</t>
  </si>
  <si>
    <t>V16</t>
  </si>
  <si>
    <t>V17</t>
  </si>
  <si>
    <t>V18</t>
  </si>
  <si>
    <t>V19</t>
  </si>
  <si>
    <t>V20</t>
  </si>
  <si>
    <t>V21</t>
  </si>
  <si>
    <t>V22</t>
  </si>
  <si>
    <t>V23</t>
  </si>
  <si>
    <t>V24</t>
  </si>
  <si>
    <t>V25</t>
  </si>
  <si>
    <t>V26</t>
  </si>
  <si>
    <t>V27</t>
  </si>
  <si>
    <t>V28</t>
  </si>
  <si>
    <t>V29</t>
  </si>
  <si>
    <t>V30</t>
  </si>
  <si>
    <t>Look up Tables</t>
  </si>
  <si>
    <t>D</t>
  </si>
  <si>
    <t>L</t>
  </si>
  <si>
    <t>Lookup Example</t>
  </si>
  <si>
    <t>Deemed (D), Lookup (L) or Custom (C)</t>
  </si>
  <si>
    <t>Gallons</t>
  </si>
  <si>
    <t>Equation MMBtu</t>
  </si>
  <si>
    <t>Low</t>
  </si>
  <si>
    <t>High</t>
  </si>
  <si>
    <t>Base</t>
  </si>
  <si>
    <t>Lighting</t>
  </si>
  <si>
    <t>Measure ID</t>
  </si>
  <si>
    <t>Effective Date</t>
  </si>
  <si>
    <t>End Date</t>
  </si>
  <si>
    <t>13a</t>
  </si>
  <si>
    <t>13b</t>
  </si>
  <si>
    <t>13c</t>
  </si>
  <si>
    <t>17a</t>
  </si>
  <si>
    <t>17b</t>
  </si>
  <si>
    <t>17c</t>
  </si>
  <si>
    <t>17d</t>
  </si>
  <si>
    <t>17e</t>
  </si>
  <si>
    <t>17f</t>
  </si>
  <si>
    <t>17g</t>
  </si>
  <si>
    <t>17h</t>
  </si>
  <si>
    <t>TBD</t>
  </si>
  <si>
    <t xml:space="preserve">Annual Operating Hours </t>
  </si>
  <si>
    <t>ISR</t>
  </si>
  <si>
    <t>HF</t>
  </si>
  <si>
    <t>C</t>
  </si>
  <si>
    <t>Average hours of use per year</t>
  </si>
  <si>
    <t>SenSit Inputs</t>
  </si>
  <si>
    <t>Loadshape</t>
  </si>
  <si>
    <t>Allocation of Annual Energy Savings</t>
  </si>
  <si>
    <t>Winter Peak</t>
  </si>
  <si>
    <t>Winter Off-Peak</t>
  </si>
  <si>
    <t>Summer Peak</t>
  </si>
  <si>
    <t>Summer Off-Peak</t>
  </si>
  <si>
    <t>Coincidence Factors</t>
  </si>
  <si>
    <t>Winter</t>
  </si>
  <si>
    <t>Summer</t>
  </si>
  <si>
    <t>Commercial Lighting</t>
  </si>
  <si>
    <t>Flat</t>
  </si>
  <si>
    <t>Commercial Motors</t>
  </si>
  <si>
    <t>Commercial HVAC</t>
  </si>
  <si>
    <t>Commercial Refrigeration</t>
  </si>
  <si>
    <t>Motors</t>
  </si>
  <si>
    <t>Refrigeration</t>
  </si>
  <si>
    <t>Shawn - what are the definitions?</t>
  </si>
  <si>
    <t>Residential Retrofit</t>
  </si>
  <si>
    <t>Residential Early Retirement</t>
  </si>
  <si>
    <t>Residential New Construction</t>
  </si>
  <si>
    <t>Residential Direct Install</t>
  </si>
  <si>
    <t>Low Income Time of Sale</t>
  </si>
  <si>
    <t>Low Income Direct Install</t>
  </si>
  <si>
    <t>Low Income Retrofit</t>
  </si>
  <si>
    <t>Low Income Early Retirement</t>
  </si>
  <si>
    <t>Low Income New Construction</t>
  </si>
  <si>
    <t>Commercial Time of Sale</t>
  </si>
  <si>
    <t>Commercial Direct Install</t>
  </si>
  <si>
    <t>Commercial Retrofit</t>
  </si>
  <si>
    <t>Commercial Early Retirement</t>
  </si>
  <si>
    <t>Commercial New Construction</t>
  </si>
  <si>
    <t>End Use Types</t>
  </si>
  <si>
    <t>Space Heating</t>
  </si>
  <si>
    <t>Space Cooling</t>
  </si>
  <si>
    <t>Cooking and Laundry</t>
  </si>
  <si>
    <t>Compressed Air</t>
  </si>
  <si>
    <t>Thermal Shell</t>
  </si>
  <si>
    <t>Ventilation</t>
  </si>
  <si>
    <t>Other</t>
  </si>
  <si>
    <t>Consumer Electronics</t>
  </si>
  <si>
    <t>Industrial Process</t>
  </si>
  <si>
    <t>Fuel Switch</t>
  </si>
  <si>
    <t>SPECIALTY CFL</t>
  </si>
  <si>
    <t>WattsEE</t>
  </si>
  <si>
    <t>Waste heat factor for demand to account for cooling savings from efficient lighting. The cooling savings are only added to the summer peak savings.</t>
  </si>
  <si>
    <t>Waste heat factor for energy to account for cooling savings from efficient lighting</t>
  </si>
  <si>
    <t>Bulb Type</t>
  </si>
  <si>
    <t>Three-way</t>
  </si>
  <si>
    <t>Exterior reflector</t>
  </si>
  <si>
    <t>Bug light</t>
  </si>
  <si>
    <t>Daylight</t>
  </si>
  <si>
    <t>Plant light</t>
  </si>
  <si>
    <t>Globe</t>
  </si>
  <si>
    <t>Vibration or shatterproof</t>
  </si>
  <si>
    <t>Candelabra base and candle medium and intermediate base</t>
  </si>
  <si>
    <t>Post light (&gt;100W)</t>
  </si>
  <si>
    <t>Indoor</t>
  </si>
  <si>
    <t>Basement</t>
  </si>
  <si>
    <t>Bathroom</t>
  </si>
  <si>
    <t>Bedroom</t>
  </si>
  <si>
    <t>Dining</t>
  </si>
  <si>
    <t>Foyer</t>
  </si>
  <si>
    <t>Garage</t>
  </si>
  <si>
    <t>Hallway</t>
  </si>
  <si>
    <t>Kitchen</t>
  </si>
  <si>
    <t>Laundry/Closet</t>
  </si>
  <si>
    <t>Living Room</t>
  </si>
  <si>
    <t>Office/Den</t>
  </si>
  <si>
    <t xml:space="preserve">Room Type </t>
  </si>
  <si>
    <t xml:space="preserve">Average HOU </t>
  </si>
  <si>
    <t>Outdoor</t>
  </si>
  <si>
    <t>CF</t>
  </si>
  <si>
    <t>comment</t>
  </si>
  <si>
    <t>mean from other evaluations</t>
  </si>
  <si>
    <t>A-bulb (covered)</t>
  </si>
  <si>
    <t>Distribution of Specialty Program Bulbs by Wattage Group</t>
  </si>
  <si>
    <t>&lt;=12 W</t>
  </si>
  <si>
    <t>13-17 W</t>
  </si>
  <si>
    <t>18-23 W</t>
  </si>
  <si>
    <t>24-28 w</t>
  </si>
  <si>
    <t>29-42 W</t>
  </si>
  <si>
    <t>% of program sales</t>
  </si>
  <si>
    <t>Dimmable</t>
  </si>
  <si>
    <t>Docket No. 10-0520, ICC Staff Exhibit 1.4, RE: Lighting Logger Study Results – Version 2, Navigant, May 27, 2011</t>
  </si>
  <si>
    <t>n/a</t>
  </si>
  <si>
    <t>WHFd</t>
  </si>
  <si>
    <t>WHFe</t>
  </si>
  <si>
    <t>Wattage of incandescent specialty bulb</t>
  </si>
  <si>
    <t>Wattage of energy efficient specuialty bulb purchased</t>
  </si>
  <si>
    <t>In Service Rate or the percentage of units rebated that get installed.</t>
  </si>
  <si>
    <t>Summer Peak Coincidence Factor for measure</t>
  </si>
  <si>
    <t>HOURS</t>
  </si>
  <si>
    <t>Heating Factor or percentage of light savings that must be heated</t>
  </si>
  <si>
    <t>ηHeat</t>
  </si>
  <si>
    <t>Conversion from kWh to MMBTU</t>
  </si>
  <si>
    <t>WattsBase</t>
  </si>
  <si>
    <r>
      <rPr>
        <sz val="10"/>
        <rFont val="Symbol"/>
        <family val="1"/>
        <charset val="2"/>
      </rPr>
      <t>D</t>
    </r>
    <r>
      <rPr>
        <sz val="10"/>
        <rFont val="Times New Roman"/>
        <family val="1"/>
      </rPr>
      <t>kW=((WattsBase-WattsEE)/1000)*ISR*WHFd*CF</t>
    </r>
  </si>
  <si>
    <r>
      <rPr>
        <sz val="10"/>
        <rFont val="Symbol"/>
        <family val="1"/>
        <charset val="2"/>
      </rPr>
      <t>D</t>
    </r>
    <r>
      <rPr>
        <sz val="10"/>
        <rFont val="Times New Roman"/>
        <family val="1"/>
      </rPr>
      <t>kWh=(((WattsBase-WattsEE)/1000)*ISR*Hours*WHFe</t>
    </r>
  </si>
  <si>
    <t>Average heating system efficiency</t>
  </si>
  <si>
    <t>Waste heat factor for demand to account for cooling savings from efficient lighting. The value is estimated at 1.21 (calculated as 1 + (0.66 / 3.1)). Based on typical cooling system operating efficiency of 3.1 COP (starting from standard assumption of SEER 11 central AC unit, converted to 10.5 EER using algorithm EER = (SEER * 0.37) + 6.43 (based on Roberts and Salcido, Architectural Energy Corporation, Feb 2008; “Peak Electric Demand Calculations in the REM/Rate Home Energy Rating Software and REM/Design Home Energy Analysis Software”), converted to COP = EER/3.412 = 3.1COP), and 66% of homes in Illinois having central cooling ("Table HC7.9  Air Conditioning in Homes in Midwest Region, Divisions, and States, 2009 from Energy Information Administration", 2009 Residential Energy Consumption Survey; http://www.eia.gov/consumption/residential/data/2009/xls/HC7.9%20Air%20Conditioning%20in%20Midwest%20Region.xls)</t>
  </si>
  <si>
    <t>Waste heat factor for energy to account for cooling savings from efficient lighting.  The value is estimated at 1.06 (calculated as 1 + (0.66*(0.27 / 3.1)).  Based on cooling loads decreasing by 27% of the lighting savings (average result from REMRate modeling of several different configurations and IL locations of homes), assuming typical cooling system operating efficiency of 3.1 COP (starting from standard assumption of SEER 11 central AC unit, converted to 10.5 EER using algorithm EER = (SEER * 0.37) + 6.43 (based on Roberts and Salcido, Architectural Energy Corporation, Feb 2008; “Peak Electric Demand Calculations in the REM/Rate Home Energy Rating Software and REM/Design Home Energy Analysis Software”), converted to COP = EER/3.412 = 3.1COP) and 66% of homes in Illinois having central cooling ("Table HC7.9  Air Conditioning in Homes in Midwest Region, Divisions, and States, 2009 from Energy Information Administration", 2009 Residential Energy Consumption Survey;   http://www.eia.gov/consumption/residential/data/2009/xls/HC7.9%20Air%20Conditioning%20in%20Midwest%20Region.xls)</t>
  </si>
  <si>
    <t>I.e. heating loads increase by 49% of the lighting savings (average result from REMRate modeling of several different configurations and IL locations of homes),</t>
  </si>
  <si>
    <t>This has been estimated assuming that natural gas central furnace heating is typical for Illinois residences (66% of Illinois homes have a Natural Gas Furnace (based on Energy Information Administration, 2009 Residential Energy Consumption Survey: http://www.eia.gov/consumption/residential/data/2009/xls/HC6.9%20Space%20Heating%20in%20Midwest%20Region.xls))
In 2000, 24% of furnaces purchased in Illinois were condensing (based on data from GAMA, provided to Department of Energy during the federal standard setting process for residential heating equipment - see Furnace Penetration.xls). Furnaces tend to last up to 20 years and so units purchased 10 years ago provide a reasonable proxy for the current mix of furnaces in the State. Assuming typical efficiencies for condensing and non condensing furnaces and duct losses, the average heating system efficiency is estimated as follows: 
(0.24*0.92) + (0.76*0.8) * (1-0.15) =  0.70</t>
  </si>
  <si>
    <t>Res Lighting</t>
  </si>
  <si>
    <t>SensIt 1.45</t>
  </si>
  <si>
    <t>Many Inputs, One Output</t>
  </si>
  <si>
    <t>Single-Factor Sensitivity Analysis</t>
  </si>
  <si>
    <t xml:space="preserve">Date </t>
  </si>
  <si>
    <t xml:space="preserve">Time </t>
  </si>
  <si>
    <t xml:space="preserve">Workbook </t>
  </si>
  <si>
    <t xml:space="preserve">Output Cell </t>
  </si>
  <si>
    <t>SPCFL!$N$42</t>
  </si>
  <si>
    <t>Corresponding Input Value</t>
  </si>
  <si>
    <t>Percent</t>
  </si>
  <si>
    <t>Input Variable</t>
  </si>
  <si>
    <t>Swing</t>
  </si>
  <si>
    <t>Swing^2</t>
  </si>
  <si>
    <t>Low Output</t>
  </si>
  <si>
    <t>Base Case</t>
  </si>
  <si>
    <t>High Output</t>
  </si>
  <si>
    <t>SPCFL!$N$41</t>
  </si>
  <si>
    <t>chandeliers, ceiling fans, wall sconces, covered outdoor lights</t>
  </si>
  <si>
    <t>bathroom vanities and ceiling pendants</t>
  </si>
  <si>
    <t>Recessed lights or track lighting</t>
  </si>
  <si>
    <t>porch lamps and driveway lights</t>
  </si>
  <si>
    <t>three-way lamps</t>
  </si>
  <si>
    <t>Bedroom, Dining, Foyer, Hallway, Kitchen, Living Room, Office, Den</t>
  </si>
  <si>
    <t xml:space="preserve">Specialty - Generic </t>
  </si>
  <si>
    <t>Bedroom, Living Room, Office/Den, Dining Room</t>
  </si>
  <si>
    <t>Unlike standard CFLs that could be installed in any room, certain types of specialty CFLs are more likely to be found in specific rooms, which affects the hours of use. Lighting logger study conducted as part of the PY3 ComEd Residential Lighting Program evaluation was used to calculate the average hours of use in the rooms where the specialty bulbs are most likely to be installed (see table below).</t>
  </si>
  <si>
    <t>Model Type</t>
  </si>
  <si>
    <t>Total</t>
  </si>
  <si>
    <t>Covered A-line</t>
  </si>
  <si>
    <t>Covered reflector</t>
  </si>
  <si>
    <t>(blank)</t>
  </si>
  <si>
    <t>Covered Candle</t>
  </si>
  <si>
    <t>Covered globe</t>
  </si>
  <si>
    <t>Covered-Candle</t>
  </si>
  <si>
    <t>Covered-post</t>
  </si>
  <si>
    <t>Grand Total</t>
  </si>
  <si>
    <t>Average specialty bulb rated life</t>
  </si>
  <si>
    <t>List of Energy Star qualified light bulb (http://www.energystar.gov/index.cfm?fuseaction=find_a_product.showProductGroup&amp;pgw_code=LB)</t>
  </si>
  <si>
    <t>Fixture types where specialty bulb type is commonly used</t>
  </si>
  <si>
    <t>Unlike standard CFLs that could be installed in any room, certain types of specialty CFLs are more likely to be found in specific rooms, which affects the coincident peak factor. Lighting logger study conducted as part of the PY3 ComEd Residential Lighting Program evaluation was used to calculate the average coincident peak factor in the rooms where the specialty bulbs are most likely to be installed (see table below). ComEd has been using 0.081 (ComEd PY2 Default Values Review All Electric Programs, 2010-01-29, Navigant Consulting)</t>
  </si>
  <si>
    <t>Specialty Bulb sales by bulb type</t>
  </si>
  <si>
    <t>3-Way</t>
  </si>
  <si>
    <t>A-Lamp</t>
  </si>
  <si>
    <t>Bug Light</t>
  </si>
  <si>
    <t>Candelabra</t>
  </si>
  <si>
    <t>Fan bulb</t>
  </si>
  <si>
    <t>Flood light and spotlight</t>
  </si>
  <si>
    <t>Percentage of total program specialty bulbs (Ameren)</t>
  </si>
  <si>
    <t>N/A, not exempt from EISA, use the standard bulb measure characterization</t>
  </si>
  <si>
    <t>Interior reflector (incl. dimmable)</t>
  </si>
  <si>
    <t>Lighting and Appliance Evaluation – PY 2, Ameren Illinois, Prepared by,The Cadmus Group Inc. / Energy Services, December 2010</t>
  </si>
  <si>
    <t>Bathroom, Dining</t>
  </si>
  <si>
    <t>Energy Efficiency / Demand Response Plan: Plan Year 2 (6/1/2009-5/31/2010) Evaluation Report: Residential Energy Star ® Lighting
http://ilsag.org/yahoo_site_admin/assets/docs/ComEd_Res_Lighting_PY2_Evaluation_Report_2010-12-21_Final.12113928.pdf</t>
  </si>
  <si>
    <t>ΔMMBTU  = -(((WattsBase-WattsEE) /1000) * ISR * HOURS * 0.003413 * HF) / ηHeat</t>
  </si>
  <si>
    <t>daily hours of use</t>
  </si>
  <si>
    <t>not EISA 2007 exempt</t>
  </si>
  <si>
    <t>Specialy incadescent light bulb.</t>
  </si>
  <si>
    <t>Average rated life depends on specialty bulb type. The average rated life for specialty bulbs is around 8,600 hours and varies by bulb type; the rated life of different types of specialty bulbs is presented in the table below. Frequent on and off switching reduces the CFL bulb life compared to its rated life, and infrequent on and off switching extends the life of the CFL bulb. Therefore lifetime of the bulb will depend on its location in the home. The assumed measure life for the specialty bulb measure characterization was reported in "Residential Lighting Measure Life Study", Nexus Market Research, June 4, 2008.</t>
  </si>
  <si>
    <t xml:space="preserve">Most likely location (VEIC/ Efficiency Vermont Lighting Market Manager's expertise) </t>
  </si>
  <si>
    <t>Peak CF</t>
  </si>
  <si>
    <t>High_Impact_Measure_SPCFL_JJ_121211.xlsx</t>
  </si>
  <si>
    <t>An existing incandescent specialty bulb is replaced with a lower wattage ENERGY STAR qualified specialty compact fluorescent bulb.  Specialty CFL bulbs are defined as lamps for general illumination that use fluorescent light emitting technology and an integrated electronic ballast with or without a standard Edison screw-base.  Specialty bulbs defined in this characterization are exempt of the EISA 2007 standard and may include the following bulb types, among others: three-way, plant light, daylight bulb, bug light, post light, glodes G40, candelabra base, vibration service bulb, decorative candle with medium or intermediate bas, shatter resistant, reflector (the exemption on reflector bulbs is expected to expire in 2014 for the following wattage and bulb type: 45 W (R20 and BR 19); 50W (R30, ER 30, BR 40, and ER 40); 65W (BR30, BR40, and ER 404)).
This characterization assumes that the specialty CFL is installed in a residential location. Where the implementation strategy does not allow for the installation location to be known and absent verifiable evaluation data to support an appropriate residential vs. commercial split, it is recommended to use this residential characterization for all purchases to be appropriately conservative in savings assumptions.</t>
  </si>
  <si>
    <t>Use the wattage of the efficient bulb purchased, if the wattage us unknown, use 15W. An evaluation (Energy Efficiency / Demand Response Plan: Plan Year 2 (6/1/2009-5/31/2010) Evaluation Report: Residential Energy Star ® Lighting
http://ilsag.org/yahoo_site_admin/assets/docs/ComEd_Res_Lighting_PY2_Evaluation_Report_2010-12-21_Final.12113928.pdf) reported 13-17 W as the most common specialty CFL wattage (69% of program bulbs). 2009 California data also reportedan an average CFL wattage of 15.5 Watts (KEMA, Inc, The Cadmus Group, Itron, Inc, PA Consulting Group, Jai J. Mitchell Analytics, Draft Evaluation Report: Upstream Lighting Program. Prepared for the California Public Utilities Commission, Energy Division. December 10, 2009).</t>
  </si>
  <si>
    <r>
      <t xml:space="preserve">In-service rate for </t>
    </r>
    <r>
      <rPr>
        <i/>
        <sz val="10"/>
        <rFont val="Garamond"/>
        <family val="1"/>
      </rPr>
      <t>specialty</t>
    </r>
    <r>
      <rPr>
        <sz val="10"/>
        <rFont val="Garamond"/>
        <family val="1"/>
      </rPr>
      <t xml:space="preserve"> bulbs is expected to be higher than for </t>
    </r>
    <r>
      <rPr>
        <i/>
        <sz val="10"/>
        <rFont val="Garamond"/>
        <family val="1"/>
      </rPr>
      <t>standard</t>
    </r>
    <r>
      <rPr>
        <sz val="10"/>
        <rFont val="Garamond"/>
        <family val="1"/>
      </rPr>
      <t xml:space="preserve"> CFL bulbs, due to customers purchasing specialty bulbs for a specific location, and due to the higher retail price of these bulbs. Evaluation indicated a First Year In Service Rate for</t>
    </r>
    <r>
      <rPr>
        <i/>
        <sz val="10"/>
        <rFont val="Garamond"/>
        <family val="1"/>
      </rPr>
      <t xml:space="preserve"> standard</t>
    </r>
    <r>
      <rPr>
        <sz val="10"/>
        <rFont val="Garamond"/>
        <family val="1"/>
      </rPr>
      <t xml:space="preserve"> CFLs of 89% (75%, with data indicating that 56% of the remaining 25% will be installed to replace an incandescent in follwing years (75% +(25%*56%)= 89%, Energy Efficiency / Demand Response Plan: Plan Year 2 (6/1/2009-5/31/2010) Evaluation Report: Residential Energy Star ® Lighting).
As mentioned, it it reasonable to assume that a higher percentage of </t>
    </r>
    <r>
      <rPr>
        <i/>
        <sz val="10"/>
        <rFont val="Garamond"/>
        <family val="1"/>
      </rPr>
      <t>specialty</t>
    </r>
    <r>
      <rPr>
        <sz val="10"/>
        <rFont val="Garamond"/>
        <family val="1"/>
      </rPr>
      <t xml:space="preserve"> bulbs get installed. Evaluation supports using 95%: ComeEd has used 100% in the past and has been recommended to use 0.95 for program tracking savings, based on the 5% removal rate found in the PY1 ComEd Residential Lighting evaluation (source: ComEd PY2 Default Values Review All Electric Programs, 2010-01-29, Navigant Consulting).</t>
    </r>
  </si>
  <si>
    <t>Percentage of total specialty program bulbs by bulb type (Energy Efficiency / Demand Response Plan: Plan Year 2 (6/1/2009-5/31/2010) Evaluation Report: Residential Energy Star ® Lighting
http://ilsag.org/yahoo_site_admin/assets/docs/ComEd_Res_Lighting_PY2_Evaluation_Report_2010-12-21_Final.12113928.pdf)</t>
  </si>
  <si>
    <t>Averages of rooms HOU</t>
  </si>
  <si>
    <t>Annual hours of use (HOU)</t>
  </si>
  <si>
    <t>Comment</t>
  </si>
  <si>
    <t>Energy Star qualified specialty CFL bulb as defined above that is exempt from EISA 2007. Due to A-line and dimmable bulbs not being exempt from EISA, this measure characterization will be used most often for flood light/reflector/spotlight ,(until exemption expires) and globes, which make up the majority of specialty program bulbs (Lighting and Appliance Evaluation – PY 2, Ameren Illinois, Prepared by,The Cadmus Group Inc. / Energy Services, December 2010), see below for details.</t>
  </si>
  <si>
    <t>The number of hours will depend on the room and type of bulb: Lighting logger study conducted as part of the PY3 ComEd Residential Lighting Program evaluation provides estimates for different rooms. See table below for details. Value provided is for a generic average bulb at 2.57 hours per day</t>
  </si>
  <si>
    <t>life of the baseline bulb . Assumes 1000 hour rated life for incandescent bulb, 1000/938 = 1.07</t>
  </si>
  <si>
    <t xml:space="preserve">NEEP residential Lighting Survey, 2011 </t>
  </si>
  <si>
    <t>The incremental cost of the CFL compared to the incandescent light bulb is offset via either rebate coupons or via upstream markdowns (incremental cost: NEEP residential Lighting Survey, 2011)</t>
  </si>
  <si>
    <t>Incandescent Bulbs</t>
  </si>
  <si>
    <t xml:space="preserve">(watts) </t>
  </si>
  <si>
    <t>Minimum Light Output</t>
  </si>
  <si>
    <t xml:space="preserve">(lumens) </t>
  </si>
  <si>
    <t>Common ENERGY STAR Qualified Bulbs (Watts)</t>
  </si>
  <si>
    <t>4 to 9</t>
  </si>
  <si>
    <t>9 to 13</t>
  </si>
  <si>
    <t>13 to 15</t>
  </si>
  <si>
    <t>18 to 25</t>
  </si>
  <si>
    <t>23 to 30</t>
  </si>
  <si>
    <t>22 to 40</t>
  </si>
  <si>
    <t>40 to 45</t>
  </si>
  <si>
    <t>Energy Star Bulb Equivalence Table</t>
  </si>
  <si>
    <t>http://www.energystar.gov/index.cfm?c=cfls.pr_cfls_lumens</t>
  </si>
  <si>
    <t>CFL Watts In table above</t>
  </si>
  <si>
    <t>When efficienct bulb wattage is known, the incandescent equivalent wattage should be used (based on ENERGY STAR equivalent table; http://www.energystar.gov/index.cfm?c=cfls.pr_cfls_lumens). If efficient bulb wattage is unknown (and so is assumed to be 15W, WattsBase will be 60W. A 2006-2008 California Upstream Lighting Evaluation found an average incandescent wattage of 61.7 Watts (KEMA, Inc, The Cadmus Group, Itron, Inc, PA Consulting Group, Jai J. Mitchell Analytics, Draft Evaluation Report: Upstream Lighting Program. Prepared for the California Public Utilities Commission, Energy Division. December 10, 2009)</t>
  </si>
  <si>
    <t>Weighted average based on ComEd evaluation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</si>
</sst>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
    <numFmt numFmtId="167" formatCode="0.000000"/>
    <numFmt numFmtId="168" formatCode="_(* #,##0_);_(* \(#,##0\);_(* &quot;-&quot;??_);_(@_)"/>
  </numFmts>
  <fonts count="18" x14ac:knownFonts="1">
    <font>
      <sz val="10"/>
      <name val="Arial"/>
      <family val="2"/>
    </font>
    <font>
      <sz val="11"/>
      <color theme="1"/>
      <name val="Calibri"/>
      <family val="2"/>
      <scheme val="minor"/>
    </font>
    <font>
      <sz val="10"/>
      <name val="Arial"/>
      <family val="2"/>
    </font>
    <font>
      <b/>
      <sz val="10"/>
      <color theme="0"/>
      <name val="Arial"/>
      <family val="2"/>
    </font>
    <font>
      <sz val="10"/>
      <color rgb="FFFF0000"/>
      <name val="Arial"/>
      <family val="2"/>
    </font>
    <font>
      <b/>
      <sz val="10"/>
      <color rgb="FFFFFFFF"/>
      <name val="Garamond"/>
      <family val="1"/>
    </font>
    <font>
      <sz val="10"/>
      <name val="Garamond"/>
      <family val="1"/>
    </font>
    <font>
      <sz val="10"/>
      <name val="Symbol"/>
      <family val="1"/>
      <charset val="2"/>
    </font>
    <font>
      <b/>
      <vertAlign val="superscript"/>
      <sz val="10"/>
      <color rgb="FFFFFFFF"/>
      <name val="Garamond"/>
      <family val="1"/>
    </font>
    <font>
      <sz val="10"/>
      <name val="Times New Roman"/>
      <family val="1"/>
    </font>
    <font>
      <sz val="10"/>
      <color rgb="FFFF0000"/>
      <name val="Garamond"/>
      <family val="1"/>
    </font>
    <font>
      <b/>
      <sz val="28"/>
      <name val="Garamond"/>
      <family val="1"/>
    </font>
    <font>
      <b/>
      <sz val="18"/>
      <color theme="0"/>
      <name val="Arial"/>
      <family val="2"/>
    </font>
    <font>
      <b/>
      <sz val="10"/>
      <name val="Times New Roman"/>
      <family val="1"/>
    </font>
    <font>
      <b/>
      <sz val="10"/>
      <name val="Arial"/>
      <family val="2"/>
    </font>
    <font>
      <u/>
      <sz val="10"/>
      <name val="Arial"/>
      <family val="2"/>
    </font>
    <font>
      <i/>
      <sz val="10"/>
      <name val="Garamond"/>
      <family val="1"/>
    </font>
    <font>
      <u/>
      <sz val="10"/>
      <color theme="10"/>
      <name val="Arial"/>
      <family val="2"/>
    </font>
  </fonts>
  <fills count="9">
    <fill>
      <patternFill patternType="none"/>
    </fill>
    <fill>
      <patternFill patternType="gray125"/>
    </fill>
    <fill>
      <patternFill patternType="solid">
        <fgColor theme="1"/>
        <bgColor indexed="64"/>
      </patternFill>
    </fill>
    <fill>
      <patternFill patternType="solid">
        <fgColor rgb="FF000000"/>
        <bgColor indexed="64"/>
      </patternFill>
    </fill>
    <fill>
      <patternFill patternType="solid">
        <fgColor rgb="FFFFFFFF"/>
        <bgColor indexed="64"/>
      </patternFill>
    </fill>
    <fill>
      <patternFill patternType="solid">
        <fgColor rgb="FF7F7F7F"/>
        <bgColor indexed="64"/>
      </patternFill>
    </fill>
    <fill>
      <patternFill patternType="solid">
        <fgColor rgb="FF595959"/>
        <bgColor indexed="64"/>
      </patternFill>
    </fill>
    <fill>
      <patternFill patternType="solid">
        <fgColor theme="0" tint="-0.34998626667073579"/>
        <bgColor indexed="64"/>
      </patternFill>
    </fill>
    <fill>
      <patternFill patternType="solid">
        <fgColor theme="0" tint="-0.1499984740745262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8"/>
      </left>
      <right/>
      <top/>
      <bottom style="thin">
        <color indexed="8"/>
      </bottom>
      <diagonal/>
    </border>
    <border>
      <left style="thin">
        <color indexed="65"/>
      </left>
      <right/>
      <top/>
      <bottom style="thin">
        <color indexed="8"/>
      </bottom>
      <diagonal/>
    </border>
    <border>
      <left style="thin">
        <color indexed="8"/>
      </left>
      <right style="thin">
        <color indexed="8"/>
      </right>
      <top/>
      <bottom style="thin">
        <color indexed="8"/>
      </bottom>
      <diagonal/>
    </border>
  </borders>
  <cellStyleXfs count="5">
    <xf numFmtId="0" fontId="0" fillId="0" borderId="0"/>
    <xf numFmtId="9" fontId="2" fillId="0" borderId="0" applyFont="0" applyFill="0" applyBorder="0" applyAlignment="0" applyProtection="0"/>
    <xf numFmtId="0" fontId="17" fillId="0" borderId="0" applyNumberFormat="0" applyFill="0" applyBorder="0" applyAlignment="0" applyProtection="0"/>
    <xf numFmtId="0" fontId="1" fillId="0" borderId="0"/>
    <xf numFmtId="9" fontId="1" fillId="0" borderId="0" applyFont="0" applyFill="0" applyBorder="0" applyAlignment="0" applyProtection="0"/>
  </cellStyleXfs>
  <cellXfs count="215">
    <xf numFmtId="0" fontId="0" fillId="0" borderId="0" xfId="0"/>
    <xf numFmtId="0" fontId="3" fillId="2" borderId="0" xfId="0" applyFont="1" applyFill="1" applyAlignment="1">
      <alignment horizontal="center"/>
    </xf>
    <xf numFmtId="0" fontId="5" fillId="3" borderId="2" xfId="0" applyFont="1" applyFill="1" applyBorder="1" applyAlignment="1">
      <alignment horizontal="center" vertical="center" wrapText="1"/>
    </xf>
    <xf numFmtId="0" fontId="5" fillId="3" borderId="3" xfId="0" applyFont="1" applyFill="1" applyBorder="1" applyAlignment="1">
      <alignment vertical="center" wrapText="1"/>
    </xf>
    <xf numFmtId="0" fontId="6" fillId="0" borderId="5" xfId="0" applyFont="1" applyBorder="1" applyAlignment="1">
      <alignment vertical="center" wrapText="1"/>
    </xf>
    <xf numFmtId="0" fontId="6" fillId="0" borderId="5" xfId="0" applyFont="1" applyBorder="1" applyAlignment="1">
      <alignment horizontal="center" vertical="center" wrapText="1"/>
    </xf>
    <xf numFmtId="0" fontId="6" fillId="4" borderId="4" xfId="0" applyFont="1" applyFill="1" applyBorder="1" applyAlignment="1">
      <alignment horizontal="center" vertical="center" wrapText="1"/>
    </xf>
    <xf numFmtId="0" fontId="6" fillId="4" borderId="5" xfId="0" applyFont="1" applyFill="1" applyBorder="1" applyAlignment="1">
      <alignment vertical="center" wrapText="1"/>
    </xf>
    <xf numFmtId="0" fontId="5" fillId="5" borderId="2"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6" fillId="0" borderId="4" xfId="0" applyFont="1" applyBorder="1" applyAlignment="1">
      <alignment horizontal="left" vertical="center" wrapText="1" indent="2"/>
    </xf>
    <xf numFmtId="0" fontId="6" fillId="0" borderId="4" xfId="0" applyFont="1" applyBorder="1" applyAlignment="1">
      <alignment horizontal="center" vertical="center" wrapText="1"/>
    </xf>
    <xf numFmtId="0" fontId="6" fillId="0" borderId="0" xfId="0" applyFont="1" applyBorder="1" applyAlignment="1">
      <alignment vertical="center" wrapText="1"/>
    </xf>
    <xf numFmtId="0" fontId="6" fillId="0" borderId="0" xfId="0" applyFont="1" applyBorder="1" applyAlignment="1">
      <alignment horizontal="center" vertical="center" wrapText="1"/>
    </xf>
    <xf numFmtId="0" fontId="5" fillId="3" borderId="3" xfId="0" applyFont="1" applyFill="1" applyBorder="1" applyAlignment="1">
      <alignment horizontal="center" vertical="center" wrapText="1"/>
    </xf>
    <xf numFmtId="0" fontId="9" fillId="0" borderId="0" xfId="0" applyFont="1" applyAlignment="1">
      <alignment horizontal="left" vertical="center" indent="4"/>
    </xf>
    <xf numFmtId="164" fontId="6" fillId="0" borderId="5"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5" fillId="3" borderId="8" xfId="0" applyFont="1" applyFill="1" applyBorder="1" applyAlignment="1">
      <alignment vertical="center" wrapText="1"/>
    </xf>
    <xf numFmtId="0" fontId="5" fillId="3" borderId="9" xfId="0" applyFont="1" applyFill="1" applyBorder="1" applyAlignment="1">
      <alignment vertical="center" wrapText="1"/>
    </xf>
    <xf numFmtId="0" fontId="6" fillId="0" borderId="2" xfId="0" applyFont="1" applyBorder="1" applyAlignment="1">
      <alignment vertical="center" wrapText="1"/>
    </xf>
    <xf numFmtId="0" fontId="4" fillId="0" borderId="0" xfId="0" applyFont="1"/>
    <xf numFmtId="0" fontId="11" fillId="0" borderId="0" xfId="0" applyFont="1"/>
    <xf numFmtId="0" fontId="5" fillId="3" borderId="9" xfId="0" applyFont="1" applyFill="1" applyBorder="1" applyAlignment="1">
      <alignment horizontal="center" vertical="center" wrapText="1"/>
    </xf>
    <xf numFmtId="0" fontId="9" fillId="0" borderId="2" xfId="0" applyFont="1" applyBorder="1" applyAlignment="1">
      <alignment horizontal="center"/>
    </xf>
    <xf numFmtId="0" fontId="6" fillId="0" borderId="0" xfId="0" applyFont="1" applyBorder="1" applyAlignment="1">
      <alignment horizontal="left" vertical="center" wrapText="1"/>
    </xf>
    <xf numFmtId="0" fontId="6" fillId="0" borderId="5" xfId="0" applyFont="1" applyBorder="1" applyAlignment="1">
      <alignment horizontal="left" vertical="center" wrapText="1" indent="5"/>
    </xf>
    <xf numFmtId="0" fontId="6" fillId="7" borderId="5" xfId="0" applyFont="1" applyFill="1" applyBorder="1" applyAlignment="1">
      <alignment horizontal="center" vertical="center" wrapText="1"/>
    </xf>
    <xf numFmtId="165" fontId="9" fillId="0" borderId="4" xfId="0" applyNumberFormat="1" applyFont="1" applyBorder="1" applyAlignment="1">
      <alignment horizontal="center"/>
    </xf>
    <xf numFmtId="0" fontId="9" fillId="0" borderId="4" xfId="0" applyFont="1" applyBorder="1" applyAlignment="1">
      <alignment horizontal="center"/>
    </xf>
    <xf numFmtId="0" fontId="0" fillId="0" borderId="0" xfId="0" applyFont="1"/>
    <xf numFmtId="0" fontId="0" fillId="0" borderId="1" xfId="0" applyBorder="1"/>
    <xf numFmtId="2" fontId="6" fillId="0" borderId="5" xfId="0" applyNumberFormat="1" applyFont="1" applyBorder="1" applyAlignment="1">
      <alignment horizontal="center" vertical="center" wrapText="1"/>
    </xf>
    <xf numFmtId="0" fontId="3" fillId="2" borderId="0" xfId="0" applyFont="1" applyFill="1" applyAlignment="1">
      <alignment horizontal="centerContinuous"/>
    </xf>
    <xf numFmtId="0" fontId="0" fillId="0" borderId="1" xfId="0" applyFont="1" applyBorder="1" applyAlignment="1">
      <alignment horizontal="center"/>
    </xf>
    <xf numFmtId="0" fontId="0" fillId="0" borderId="1" xfId="0" applyBorder="1" applyAlignment="1">
      <alignment horizontal="center"/>
    </xf>
    <xf numFmtId="0" fontId="0" fillId="0" borderId="1" xfId="0" applyBorder="1" applyAlignment="1">
      <alignment horizontal="center" wrapText="1"/>
    </xf>
    <xf numFmtId="166" fontId="0" fillId="0" borderId="1" xfId="1" applyNumberFormat="1" applyFont="1" applyBorder="1"/>
    <xf numFmtId="0" fontId="0" fillId="0" borderId="16" xfId="0" applyFill="1" applyBorder="1" applyAlignment="1">
      <alignment horizontal="left"/>
    </xf>
    <xf numFmtId="0" fontId="12" fillId="7" borderId="0" xfId="0" applyFont="1" applyFill="1"/>
    <xf numFmtId="10" fontId="0" fillId="0" borderId="0" xfId="1" applyNumberFormat="1" applyFont="1"/>
    <xf numFmtId="0" fontId="5" fillId="3" borderId="0" xfId="0" applyFont="1" applyFill="1" applyBorder="1" applyAlignment="1">
      <alignment vertical="center" wrapText="1"/>
    </xf>
    <xf numFmtId="0" fontId="0" fillId="0" borderId="1" xfId="0" applyBorder="1" applyAlignment="1">
      <alignment wrapText="1"/>
    </xf>
    <xf numFmtId="9" fontId="0" fillId="0" borderId="1" xfId="0" applyNumberFormat="1" applyBorder="1"/>
    <xf numFmtId="0" fontId="14" fillId="0" borderId="1" xfId="0" applyFont="1" applyBorder="1"/>
    <xf numFmtId="0" fontId="14" fillId="0" borderId="1" xfId="0" applyFont="1" applyFill="1" applyBorder="1"/>
    <xf numFmtId="0" fontId="14" fillId="0" borderId="1" xfId="0" applyFont="1" applyFill="1" applyBorder="1" applyAlignment="1">
      <alignment wrapText="1"/>
    </xf>
    <xf numFmtId="0" fontId="14" fillId="0" borderId="1" xfId="0" applyFont="1" applyBorder="1" applyAlignment="1">
      <alignment wrapText="1"/>
    </xf>
    <xf numFmtId="0" fontId="13" fillId="0" borderId="1" xfId="0" applyFont="1" applyBorder="1" applyAlignment="1">
      <alignment vertical="center" wrapText="1"/>
    </xf>
    <xf numFmtId="0" fontId="9" fillId="0" borderId="1" xfId="0" applyFont="1" applyBorder="1" applyAlignment="1">
      <alignment vertical="center" wrapText="1"/>
    </xf>
    <xf numFmtId="10" fontId="0" fillId="0" borderId="1" xfId="1" applyNumberFormat="1" applyFont="1" applyBorder="1" applyAlignment="1">
      <alignment horizontal="right"/>
    </xf>
    <xf numFmtId="10" fontId="0" fillId="0" borderId="1" xfId="1" applyNumberFormat="1" applyFont="1" applyBorder="1"/>
    <xf numFmtId="0" fontId="0" fillId="0" borderId="0" xfId="0" applyAlignment="1">
      <alignment horizontal="center" wrapText="1"/>
    </xf>
    <xf numFmtId="0" fontId="0" fillId="0" borderId="0" xfId="0" applyFont="1" applyBorder="1"/>
    <xf numFmtId="0" fontId="5" fillId="3" borderId="0" xfId="0" applyFont="1" applyFill="1" applyBorder="1" applyAlignment="1">
      <alignment horizontal="left" vertical="center" wrapText="1"/>
    </xf>
    <xf numFmtId="0" fontId="6" fillId="0" borderId="5" xfId="0" applyFont="1" applyFill="1" applyBorder="1" applyAlignment="1">
      <alignment horizontal="center" vertical="center" wrapText="1"/>
    </xf>
    <xf numFmtId="0" fontId="14" fillId="0" borderId="0" xfId="0" applyFont="1"/>
    <xf numFmtId="166" fontId="0" fillId="0" borderId="0" xfId="0" applyNumberFormat="1"/>
    <xf numFmtId="2" fontId="0" fillId="0" borderId="1" xfId="0" applyNumberFormat="1" applyFont="1" applyBorder="1" applyAlignment="1">
      <alignment horizontal="center"/>
    </xf>
    <xf numFmtId="0" fontId="0" fillId="0" borderId="18" xfId="0" applyBorder="1" applyAlignment="1">
      <alignment horizontal="right"/>
    </xf>
    <xf numFmtId="164" fontId="0" fillId="0" borderId="17" xfId="0" applyNumberFormat="1" applyFont="1" applyBorder="1" applyAlignment="1">
      <alignment horizontal="center"/>
    </xf>
    <xf numFmtId="2" fontId="0" fillId="0" borderId="17" xfId="0" applyNumberFormat="1" applyFont="1" applyBorder="1" applyAlignment="1">
      <alignment horizontal="center"/>
    </xf>
    <xf numFmtId="0" fontId="6" fillId="0" borderId="19" xfId="0" applyFont="1" applyBorder="1" applyAlignment="1">
      <alignment horizontal="left" vertical="center" wrapText="1" indent="2"/>
    </xf>
    <xf numFmtId="0" fontId="6" fillId="0" borderId="21" xfId="0" applyFont="1" applyBorder="1" applyAlignment="1">
      <alignment horizontal="left" vertical="center" wrapText="1" indent="2"/>
    </xf>
    <xf numFmtId="164" fontId="0" fillId="0" borderId="23" xfId="0" applyNumberFormat="1" applyFont="1" applyBorder="1" applyAlignment="1">
      <alignment horizontal="center"/>
    </xf>
    <xf numFmtId="2" fontId="0" fillId="0" borderId="23" xfId="0" applyNumberFormat="1" applyFont="1" applyBorder="1" applyAlignment="1">
      <alignment horizontal="center"/>
    </xf>
    <xf numFmtId="0" fontId="0" fillId="0" borderId="0" xfId="0" applyBorder="1" applyAlignment="1">
      <alignment horizontal="right"/>
    </xf>
    <xf numFmtId="165" fontId="0" fillId="0" borderId="0" xfId="0" applyNumberFormat="1"/>
    <xf numFmtId="165" fontId="0" fillId="0" borderId="24" xfId="0" applyNumberFormat="1" applyBorder="1"/>
    <xf numFmtId="165" fontId="0" fillId="0" borderId="25" xfId="0" applyNumberFormat="1" applyBorder="1"/>
    <xf numFmtId="0" fontId="0" fillId="0" borderId="1" xfId="0" applyFont="1" applyFill="1" applyBorder="1" applyAlignment="1">
      <alignment horizontal="center"/>
    </xf>
    <xf numFmtId="0" fontId="9" fillId="0" borderId="1" xfId="0" applyFont="1" applyFill="1" applyBorder="1" applyAlignment="1">
      <alignment vertical="center" wrapText="1"/>
    </xf>
    <xf numFmtId="0" fontId="0" fillId="0" borderId="26" xfId="0" applyFill="1" applyBorder="1" applyAlignment="1">
      <alignment wrapText="1"/>
    </xf>
    <xf numFmtId="165" fontId="0" fillId="0" borderId="1" xfId="0" applyNumberFormat="1" applyBorder="1"/>
    <xf numFmtId="2" fontId="0" fillId="0" borderId="1" xfId="0" applyNumberFormat="1" applyBorder="1"/>
    <xf numFmtId="0" fontId="0" fillId="0" borderId="1" xfId="0" applyFill="1" applyBorder="1" applyAlignment="1">
      <alignment wrapText="1"/>
    </xf>
    <xf numFmtId="1" fontId="10" fillId="0" borderId="5" xfId="0" applyNumberFormat="1" applyFont="1" applyFill="1" applyBorder="1" applyAlignment="1">
      <alignment horizontal="center" vertical="center" wrapText="1"/>
    </xf>
    <xf numFmtId="10" fontId="0" fillId="0" borderId="1" xfId="0" applyNumberFormat="1" applyBorder="1" applyAlignment="1">
      <alignment wrapText="1"/>
    </xf>
    <xf numFmtId="0" fontId="9" fillId="8" borderId="1" xfId="0" applyFont="1" applyFill="1" applyBorder="1" applyAlignment="1">
      <alignment vertical="center" wrapText="1"/>
    </xf>
    <xf numFmtId="0" fontId="0" fillId="8" borderId="1" xfId="0" applyFill="1" applyBorder="1" applyAlignment="1">
      <alignment wrapText="1"/>
    </xf>
    <xf numFmtId="0" fontId="0" fillId="0" borderId="30" xfId="0" applyBorder="1" applyAlignment="1">
      <alignment vertical="center" wrapText="1"/>
    </xf>
    <xf numFmtId="0" fontId="0" fillId="8" borderId="1" xfId="0" applyFill="1" applyBorder="1" applyAlignment="1">
      <alignment horizontal="left" wrapText="1"/>
    </xf>
    <xf numFmtId="2" fontId="0" fillId="8" borderId="1" xfId="0" applyNumberFormat="1" applyFill="1" applyBorder="1" applyAlignment="1">
      <alignment horizontal="right"/>
    </xf>
    <xf numFmtId="2" fontId="0" fillId="8" borderId="1" xfId="0" applyNumberFormat="1" applyFill="1" applyBorder="1" applyAlignment="1">
      <alignment horizontal="right" wrapText="1"/>
    </xf>
    <xf numFmtId="164" fontId="10" fillId="0" borderId="5" xfId="0" applyNumberFormat="1" applyFont="1" applyFill="1" applyBorder="1" applyAlignment="1">
      <alignment horizontal="center" vertical="center" wrapText="1"/>
    </xf>
    <xf numFmtId="0" fontId="0" fillId="0" borderId="31" xfId="0" applyBorder="1"/>
    <xf numFmtId="0" fontId="0" fillId="0" borderId="32" xfId="0" applyBorder="1"/>
    <xf numFmtId="168" fontId="0" fillId="0" borderId="33" xfId="0" applyNumberFormat="1" applyBorder="1"/>
    <xf numFmtId="168" fontId="0" fillId="0" borderId="1" xfId="0" applyNumberFormat="1" applyBorder="1"/>
    <xf numFmtId="0" fontId="0" fillId="0" borderId="0" xfId="0" applyAlignment="1">
      <alignment wrapText="1"/>
    </xf>
    <xf numFmtId="2" fontId="0" fillId="8" borderId="1" xfId="0" applyNumberFormat="1" applyFill="1" applyBorder="1" applyAlignment="1">
      <alignment horizontal="left" wrapText="1"/>
    </xf>
    <xf numFmtId="9" fontId="6" fillId="0" borderId="5" xfId="1" applyFont="1" applyBorder="1" applyAlignment="1">
      <alignment horizontal="center" vertical="center" wrapText="1"/>
    </xf>
    <xf numFmtId="165" fontId="9" fillId="0" borderId="2" xfId="0" applyNumberFormat="1" applyFont="1" applyFill="1" applyBorder="1" applyAlignment="1">
      <alignment horizontal="center"/>
    </xf>
    <xf numFmtId="2" fontId="0" fillId="8" borderId="23" xfId="0" applyNumberFormat="1" applyFill="1" applyBorder="1" applyAlignment="1"/>
    <xf numFmtId="2" fontId="0" fillId="8" borderId="27" xfId="0" applyNumberFormat="1" applyFill="1" applyBorder="1" applyAlignment="1"/>
    <xf numFmtId="2" fontId="0" fillId="8" borderId="17" xfId="0" applyNumberFormat="1" applyFill="1" applyBorder="1" applyAlignment="1"/>
    <xf numFmtId="0" fontId="13" fillId="0" borderId="1" xfId="0" applyFont="1" applyFill="1" applyBorder="1" applyAlignment="1">
      <alignment vertical="center" wrapText="1"/>
    </xf>
    <xf numFmtId="1" fontId="0" fillId="0" borderId="1" xfId="0" applyNumberFormat="1" applyFill="1" applyBorder="1" applyAlignment="1">
      <alignment wrapText="1"/>
    </xf>
    <xf numFmtId="1" fontId="0" fillId="8" borderId="1" xfId="0" applyNumberFormat="1" applyFill="1" applyBorder="1" applyAlignment="1">
      <alignment wrapText="1"/>
    </xf>
    <xf numFmtId="1" fontId="9" fillId="0" borderId="2" xfId="0" applyNumberFormat="1" applyFont="1" applyBorder="1" applyAlignment="1">
      <alignment horizontal="center"/>
    </xf>
    <xf numFmtId="165" fontId="0" fillId="0" borderId="0" xfId="0" applyNumberFormat="1" applyFill="1" applyBorder="1"/>
    <xf numFmtId="165" fontId="9" fillId="0" borderId="4" xfId="0" applyNumberFormat="1" applyFont="1" applyFill="1" applyBorder="1" applyAlignment="1">
      <alignment horizontal="center"/>
    </xf>
    <xf numFmtId="9" fontId="6" fillId="0" borderId="5" xfId="1" applyNumberFormat="1" applyFont="1" applyBorder="1" applyAlignment="1">
      <alignment horizontal="center" vertical="center" wrapText="1"/>
    </xf>
    <xf numFmtId="9" fontId="0" fillId="0" borderId="1" xfId="0" applyNumberFormat="1" applyFont="1" applyFill="1" applyBorder="1" applyAlignment="1">
      <alignment horizontal="center"/>
    </xf>
    <xf numFmtId="166" fontId="0" fillId="0" borderId="1" xfId="0" applyNumberFormat="1" applyFont="1" applyBorder="1" applyAlignment="1">
      <alignment horizontal="center"/>
    </xf>
    <xf numFmtId="166" fontId="0" fillId="0" borderId="17" xfId="0" applyNumberFormat="1" applyFont="1" applyBorder="1" applyAlignment="1">
      <alignment horizontal="center"/>
    </xf>
    <xf numFmtId="1" fontId="0" fillId="0" borderId="17" xfId="0" applyNumberFormat="1" applyFont="1" applyBorder="1" applyAlignment="1">
      <alignment horizontal="center"/>
    </xf>
    <xf numFmtId="166" fontId="0" fillId="0" borderId="23" xfId="0" applyNumberFormat="1" applyFont="1" applyBorder="1" applyAlignment="1">
      <alignment horizontal="center"/>
    </xf>
    <xf numFmtId="1" fontId="0" fillId="0" borderId="23" xfId="0" applyNumberFormat="1" applyFont="1" applyBorder="1" applyAlignment="1">
      <alignment horizontal="center"/>
    </xf>
    <xf numFmtId="164" fontId="0" fillId="0" borderId="20" xfId="0" applyNumberFormat="1" applyFont="1" applyBorder="1" applyAlignment="1">
      <alignment horizontal="center"/>
    </xf>
    <xf numFmtId="9" fontId="0" fillId="0" borderId="17" xfId="0" applyNumberFormat="1" applyFont="1" applyFill="1" applyBorder="1" applyAlignment="1">
      <alignment horizontal="center"/>
    </xf>
    <xf numFmtId="164" fontId="0" fillId="0" borderId="22" xfId="0" applyNumberFormat="1" applyFont="1" applyBorder="1" applyAlignment="1">
      <alignment horizontal="center"/>
    </xf>
    <xf numFmtId="9" fontId="0" fillId="0" borderId="23" xfId="0" applyNumberFormat="1" applyFont="1" applyFill="1" applyBorder="1" applyAlignment="1">
      <alignment horizontal="center"/>
    </xf>
    <xf numFmtId="1" fontId="0" fillId="0" borderId="0" xfId="0" applyNumberFormat="1"/>
    <xf numFmtId="1" fontId="0" fillId="0" borderId="24" xfId="0" applyNumberFormat="1" applyBorder="1"/>
    <xf numFmtId="1" fontId="0" fillId="0" borderId="25" xfId="0" applyNumberFormat="1" applyBorder="1"/>
    <xf numFmtId="0" fontId="0" fillId="0" borderId="1" xfId="0" applyBorder="1" applyAlignment="1">
      <alignment horizontal="center"/>
    </xf>
    <xf numFmtId="0" fontId="14" fillId="0" borderId="1" xfId="0" applyFont="1" applyBorder="1" applyAlignment="1">
      <alignment vertical="top" wrapText="1"/>
    </xf>
    <xf numFmtId="0" fontId="0" fillId="0" borderId="0" xfId="0" applyAlignment="1">
      <alignment vertical="top" wrapText="1"/>
    </xf>
    <xf numFmtId="0" fontId="17" fillId="0" borderId="0" xfId="2"/>
    <xf numFmtId="0" fontId="0" fillId="0" borderId="0" xfId="0" applyAlignment="1">
      <alignment horizontal="center"/>
    </xf>
    <xf numFmtId="3" fontId="0" fillId="0" borderId="1" xfId="0" applyNumberFormat="1" applyBorder="1" applyAlignment="1">
      <alignment horizontal="center"/>
    </xf>
    <xf numFmtId="0" fontId="0" fillId="0" borderId="0" xfId="0" applyFill="1" applyBorder="1" applyAlignment="1">
      <alignment horizontal="center"/>
    </xf>
    <xf numFmtId="164" fontId="6" fillId="7" borderId="5" xfId="0" applyNumberFormat="1" applyFont="1" applyFill="1" applyBorder="1" applyAlignment="1">
      <alignment horizontal="center" vertical="center" wrapText="1"/>
    </xf>
    <xf numFmtId="9" fontId="0" fillId="0" borderId="1" xfId="0" applyNumberFormat="1" applyFont="1" applyBorder="1" applyAlignment="1">
      <alignment horizontal="center"/>
    </xf>
    <xf numFmtId="167" fontId="0" fillId="0" borderId="1" xfId="0" applyNumberFormat="1" applyFont="1" applyBorder="1" applyAlignment="1">
      <alignment horizontal="center"/>
    </xf>
    <xf numFmtId="0" fontId="14" fillId="0" borderId="0" xfId="0" applyFont="1"/>
    <xf numFmtId="164" fontId="6" fillId="0" borderId="5" xfId="0" applyNumberFormat="1" applyFont="1" applyBorder="1" applyAlignment="1">
      <alignment horizontal="center" vertical="center" wrapText="1"/>
    </xf>
    <xf numFmtId="0" fontId="15" fillId="0" borderId="0" xfId="0" applyFont="1" applyAlignment="1">
      <alignment horizontal="centerContinuous"/>
    </xf>
    <xf numFmtId="1" fontId="6" fillId="0" borderId="5" xfId="0" applyNumberFormat="1" applyFont="1" applyBorder="1" applyAlignment="1">
      <alignment horizontal="center" vertical="center" wrapText="1"/>
    </xf>
    <xf numFmtId="0" fontId="0" fillId="0" borderId="0" xfId="0" applyAlignment="1">
      <alignment horizontal="right"/>
    </xf>
    <xf numFmtId="15" fontId="0" fillId="0" borderId="0" xfId="0" applyNumberFormat="1" applyAlignment="1">
      <alignment horizontal="left"/>
    </xf>
    <xf numFmtId="18" fontId="0" fillId="0" borderId="0" xfId="0" applyNumberFormat="1" applyAlignment="1">
      <alignment horizontal="left"/>
    </xf>
    <xf numFmtId="164" fontId="0" fillId="0" borderId="1" xfId="0" applyNumberFormat="1" applyFont="1" applyBorder="1" applyAlignment="1">
      <alignment horizontal="center"/>
    </xf>
    <xf numFmtId="0" fontId="0" fillId="0" borderId="0" xfId="0" applyAlignment="1">
      <alignment horizontal="centerContinuous"/>
    </xf>
    <xf numFmtId="0" fontId="0" fillId="0" borderId="0" xfId="0" applyBorder="1"/>
    <xf numFmtId="1" fontId="0" fillId="0" borderId="1" xfId="0" applyNumberFormat="1" applyFont="1" applyBorder="1" applyAlignment="1">
      <alignment horizontal="center"/>
    </xf>
    <xf numFmtId="9" fontId="6" fillId="0" borderId="5" xfId="1" applyFont="1" applyFill="1" applyBorder="1" applyAlignment="1">
      <alignment horizontal="center" vertical="center" wrapText="1"/>
    </xf>
    <xf numFmtId="9" fontId="0" fillId="0" borderId="1" xfId="1" applyFont="1" applyBorder="1" applyAlignment="1">
      <alignment horizontal="center" vertical="center"/>
    </xf>
    <xf numFmtId="166" fontId="6" fillId="0" borderId="5" xfId="1" applyNumberFormat="1" applyFont="1" applyFill="1" applyBorder="1" applyAlignment="1">
      <alignment horizontal="center" vertical="center" wrapText="1"/>
    </xf>
    <xf numFmtId="167" fontId="6" fillId="0" borderId="5" xfId="0" applyNumberFormat="1" applyFont="1" applyFill="1" applyBorder="1" applyAlignment="1">
      <alignment horizontal="center" vertical="center" wrapText="1"/>
    </xf>
    <xf numFmtId="9" fontId="0" fillId="0" borderId="1" xfId="1" applyNumberFormat="1" applyFont="1" applyBorder="1" applyAlignment="1">
      <alignment horizontal="center" vertical="center"/>
    </xf>
    <xf numFmtId="167" fontId="0" fillId="0" borderId="17" xfId="0" applyNumberFormat="1" applyFont="1" applyBorder="1" applyAlignment="1">
      <alignment horizontal="center"/>
    </xf>
    <xf numFmtId="9" fontId="0" fillId="0" borderId="17" xfId="1" applyNumberFormat="1" applyFont="1" applyBorder="1" applyAlignment="1">
      <alignment horizontal="center" vertical="center"/>
    </xf>
    <xf numFmtId="9" fontId="0" fillId="0" borderId="17" xfId="0" applyNumberFormat="1" applyFont="1" applyBorder="1" applyAlignment="1">
      <alignment horizontal="center"/>
    </xf>
    <xf numFmtId="167" fontId="0" fillId="0" borderId="23" xfId="0" applyNumberFormat="1" applyFont="1" applyBorder="1" applyAlignment="1">
      <alignment horizontal="center"/>
    </xf>
    <xf numFmtId="9" fontId="0" fillId="0" borderId="23" xfId="1" applyNumberFormat="1" applyFont="1" applyBorder="1" applyAlignment="1">
      <alignment horizontal="center" vertical="center"/>
    </xf>
    <xf numFmtId="9" fontId="0" fillId="0" borderId="23" xfId="0" applyNumberFormat="1" applyFont="1" applyBorder="1" applyAlignment="1">
      <alignment horizontal="center"/>
    </xf>
    <xf numFmtId="0" fontId="0" fillId="8" borderId="28" xfId="0" applyFill="1" applyBorder="1" applyAlignment="1">
      <alignment horizontal="center" vertical="center" wrapText="1"/>
    </xf>
    <xf numFmtId="0" fontId="0" fillId="8" borderId="26" xfId="0" applyFill="1" applyBorder="1" applyAlignment="1">
      <alignment horizontal="center" vertical="center" wrapText="1"/>
    </xf>
    <xf numFmtId="0" fontId="0" fillId="8" borderId="29" xfId="0" applyFill="1" applyBorder="1" applyAlignment="1">
      <alignment horizontal="center" vertical="center" wrapText="1"/>
    </xf>
    <xf numFmtId="0" fontId="0" fillId="0" borderId="23" xfId="0" applyBorder="1" applyAlignment="1">
      <alignment horizontal="center"/>
    </xf>
    <xf numFmtId="0" fontId="0" fillId="0" borderId="27" xfId="0" applyBorder="1" applyAlignment="1">
      <alignment horizontal="center"/>
    </xf>
    <xf numFmtId="0" fontId="0" fillId="0" borderId="17" xfId="0" applyBorder="1" applyAlignment="1">
      <alignment horizontal="center"/>
    </xf>
    <xf numFmtId="0" fontId="0" fillId="0" borderId="18" xfId="0" applyBorder="1" applyAlignment="1">
      <alignment horizontal="center" wrapText="1"/>
    </xf>
    <xf numFmtId="0" fontId="4" fillId="0" borderId="0" xfId="0" applyFont="1" applyFill="1" applyAlignment="1">
      <alignment horizont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3" xfId="0" applyFont="1" applyBorder="1" applyAlignment="1">
      <alignment horizontal="center" vertical="center" wrapText="1"/>
    </xf>
    <xf numFmtId="0" fontId="0" fillId="0" borderId="23" xfId="0" applyBorder="1" applyAlignment="1">
      <alignment horizontal="center" wrapText="1"/>
    </xf>
    <xf numFmtId="0" fontId="0" fillId="0" borderId="27" xfId="0" applyBorder="1" applyAlignment="1">
      <alignment horizontal="center" wrapText="1"/>
    </xf>
    <xf numFmtId="0" fontId="0" fillId="0" borderId="17" xfId="0" applyBorder="1" applyAlignment="1">
      <alignment horizontal="center" wrapText="1"/>
    </xf>
    <xf numFmtId="10" fontId="0" fillId="0" borderId="28" xfId="1" applyNumberFormat="1" applyFont="1" applyBorder="1" applyAlignment="1">
      <alignment horizontal="right" vertical="center"/>
    </xf>
    <xf numFmtId="10" fontId="0" fillId="0" borderId="29" xfId="1" applyNumberFormat="1" applyFont="1" applyBorder="1" applyAlignment="1">
      <alignment horizontal="right" vertical="center"/>
    </xf>
    <xf numFmtId="0" fontId="6" fillId="0" borderId="8" xfId="0" applyFont="1" applyFill="1" applyBorder="1" applyAlignment="1">
      <alignment horizontal="left" vertical="center" wrapText="1"/>
    </xf>
    <xf numFmtId="0" fontId="6" fillId="0" borderId="9" xfId="0" applyFont="1" applyFill="1" applyBorder="1" applyAlignment="1">
      <alignment horizontal="left" vertical="center" wrapText="1"/>
    </xf>
    <xf numFmtId="0" fontId="6" fillId="0" borderId="3" xfId="0" applyFont="1" applyFill="1" applyBorder="1" applyAlignment="1">
      <alignment horizontal="left" vertical="center" wrapText="1"/>
    </xf>
    <xf numFmtId="14" fontId="6" fillId="0" borderId="8" xfId="0" applyNumberFormat="1" applyFont="1" applyBorder="1" applyAlignment="1">
      <alignment horizontal="left" vertical="center" wrapText="1"/>
    </xf>
    <xf numFmtId="0" fontId="6" fillId="0" borderId="9" xfId="0" applyFont="1" applyBorder="1" applyAlignment="1">
      <alignment horizontal="left" vertical="center" wrapText="1"/>
    </xf>
    <xf numFmtId="0" fontId="6" fillId="0" borderId="3" xfId="0" applyFont="1" applyBorder="1" applyAlignment="1">
      <alignment horizontal="left" vertical="center" wrapText="1"/>
    </xf>
    <xf numFmtId="0" fontId="0" fillId="0" borderId="8" xfId="0" applyBorder="1" applyAlignment="1">
      <alignment horizontal="left" wrapText="1"/>
    </xf>
    <xf numFmtId="0" fontId="0" fillId="0" borderId="9" xfId="0" applyBorder="1" applyAlignment="1">
      <alignment horizontal="left" wrapText="1"/>
    </xf>
    <xf numFmtId="0" fontId="0" fillId="0" borderId="3" xfId="0" applyBorder="1" applyAlignment="1">
      <alignment horizontal="left" wrapText="1"/>
    </xf>
    <xf numFmtId="0" fontId="0" fillId="0" borderId="8" xfId="0" applyBorder="1" applyAlignment="1">
      <alignment horizontal="left"/>
    </xf>
    <xf numFmtId="0" fontId="0" fillId="0" borderId="9" xfId="0" applyBorder="1" applyAlignment="1">
      <alignment horizontal="left"/>
    </xf>
    <xf numFmtId="0" fontId="0" fillId="0" borderId="3" xfId="0" applyBorder="1" applyAlignment="1">
      <alignment horizontal="left"/>
    </xf>
    <xf numFmtId="0" fontId="6" fillId="0" borderId="8" xfId="0" applyFont="1" applyBorder="1" applyAlignment="1">
      <alignment horizontal="left" vertical="center" wrapText="1"/>
    </xf>
    <xf numFmtId="0" fontId="5" fillId="3" borderId="6"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9" fillId="0" borderId="14" xfId="0" applyFont="1" applyBorder="1" applyAlignment="1">
      <alignment horizontal="left"/>
    </xf>
    <xf numFmtId="0" fontId="9" fillId="0" borderId="7" xfId="0" applyFont="1" applyBorder="1" applyAlignment="1">
      <alignment horizontal="left"/>
    </xf>
    <xf numFmtId="0" fontId="9" fillId="0" borderId="10" xfId="0" applyFont="1" applyBorder="1" applyAlignment="1">
      <alignment horizontal="center" vertical="center"/>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9" fillId="0" borderId="5" xfId="0" applyFont="1" applyBorder="1" applyAlignment="1">
      <alignment horizontal="center" vertical="center"/>
    </xf>
    <xf numFmtId="0" fontId="9" fillId="0" borderId="8" xfId="0" applyFont="1" applyBorder="1" applyAlignment="1">
      <alignment horizontal="left"/>
    </xf>
    <xf numFmtId="0" fontId="9" fillId="0" borderId="9" xfId="0" applyFont="1" applyBorder="1" applyAlignment="1">
      <alignment horizontal="left"/>
    </xf>
    <xf numFmtId="0" fontId="5" fillId="3" borderId="11"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0" fillId="0" borderId="4" xfId="0" applyBorder="1" applyAlignment="1">
      <alignment horizontal="center" vertical="center" wrapText="1"/>
    </xf>
    <xf numFmtId="0" fontId="5" fillId="3" borderId="12"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0" fillId="0" borderId="1" xfId="0" applyBorder="1" applyAlignment="1">
      <alignment horizontal="center" wrapText="1"/>
    </xf>
    <xf numFmtId="0" fontId="0" fillId="0" borderId="25" xfId="0" applyBorder="1" applyAlignment="1">
      <alignment horizontal="center" wrapText="1"/>
    </xf>
    <xf numFmtId="0" fontId="5" fillId="6" borderId="11" xfId="0" applyFont="1" applyFill="1" applyBorder="1" applyAlignment="1">
      <alignment horizontal="left" vertical="center" wrapText="1"/>
    </xf>
    <xf numFmtId="0" fontId="5" fillId="6" borderId="12" xfId="0" applyFont="1" applyFill="1" applyBorder="1" applyAlignment="1">
      <alignment horizontal="left" vertical="center" wrapText="1"/>
    </xf>
    <xf numFmtId="0" fontId="5" fillId="6" borderId="13" xfId="0" applyFont="1" applyFill="1" applyBorder="1" applyAlignment="1">
      <alignment horizontal="left" vertical="center" wrapText="1"/>
    </xf>
    <xf numFmtId="0" fontId="5" fillId="5" borderId="8" xfId="0" applyFont="1" applyFill="1" applyBorder="1" applyAlignment="1">
      <alignment horizontal="left" vertical="center" wrapText="1"/>
    </xf>
    <xf numFmtId="0" fontId="5" fillId="5" borderId="9" xfId="0" applyFont="1" applyFill="1" applyBorder="1" applyAlignment="1">
      <alignment horizontal="left" vertical="center" wrapText="1"/>
    </xf>
    <xf numFmtId="0" fontId="5" fillId="5" borderId="3" xfId="0" applyFont="1" applyFill="1" applyBorder="1" applyAlignment="1">
      <alignment horizontal="left" vertical="center" wrapText="1"/>
    </xf>
    <xf numFmtId="0" fontId="0" fillId="0" borderId="8" xfId="0" applyBorder="1" applyAlignment="1">
      <alignment horizontal="center"/>
    </xf>
    <xf numFmtId="0" fontId="0" fillId="0" borderId="9" xfId="0" applyBorder="1" applyAlignment="1">
      <alignment horizontal="center"/>
    </xf>
    <xf numFmtId="0" fontId="0" fillId="0" borderId="3" xfId="0" applyBorder="1" applyAlignment="1">
      <alignment horizontal="center"/>
    </xf>
    <xf numFmtId="0" fontId="0" fillId="0" borderId="1" xfId="0" applyBorder="1" applyAlignment="1">
      <alignment horizontal="center"/>
    </xf>
    <xf numFmtId="0" fontId="0" fillId="0" borderId="1" xfId="0" applyBorder="1" applyAlignment="1">
      <alignment horizontal="left" vertical="center"/>
    </xf>
    <xf numFmtId="0" fontId="0" fillId="0" borderId="1" xfId="0" applyBorder="1" applyAlignment="1">
      <alignment horizontal="center" vertical="center"/>
    </xf>
  </cellXfs>
  <cellStyles count="5">
    <cellStyle name="Hyperlink" xfId="2" builtinId="8"/>
    <cellStyle name="Normal" xfId="0" builtinId="0"/>
    <cellStyle name="Normal 2" xfId="3"/>
    <cellStyle name="Percent" xfId="1" builtinId="5"/>
    <cellStyle name="Percent 2" xfId="4"/>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fill>
        <patternFill patternType="none">
          <bgColor auto="1"/>
        </patternFill>
      </fill>
    </dxf>
    <dxf>
      <font>
        <color rgb="FFFF0000"/>
      </font>
    </dxf>
    <dxf>
      <font>
        <color rgb="FFFF0000"/>
      </font>
    </dxf>
    <dxf>
      <font>
        <color rgb="FFFF000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sz="1000" b="0" i="0"/>
              <a:t>SensIt 1.45</a:t>
            </a:r>
          </a:p>
        </c:rich>
      </c:tx>
      <c:overlay val="0"/>
    </c:title>
    <c:autoTitleDeleted val="0"/>
    <c:plotArea>
      <c:layout/>
      <c:barChart>
        <c:barDir val="bar"/>
        <c:grouping val="clustered"/>
        <c:varyColors val="0"/>
        <c:ser>
          <c:idx val="0"/>
          <c:order val="0"/>
          <c:tx>
            <c:v>Bars on Left</c:v>
          </c:tx>
          <c:spPr>
            <a:solidFill>
              <a:srgbClr val="000000"/>
            </a:solidFill>
          </c:spPr>
          <c:invertIfNegative val="0"/>
          <c:dLbls>
            <c:dLbl>
              <c:idx val="0"/>
              <c:tx>
                <c:strRef>
                  <c:f>'SensIt Tornado KWH'!$B$11</c:f>
                  <c:strCache>
                    <c:ptCount val="1"/>
                    <c:pt idx="0">
                      <c:v>4.0</c:v>
                    </c:pt>
                  </c:strCache>
                </c:strRef>
              </c:tx>
              <c:showLegendKey val="0"/>
              <c:showVal val="1"/>
              <c:showCatName val="0"/>
              <c:showSerName val="0"/>
              <c:showPercent val="0"/>
              <c:showBubbleSize val="0"/>
            </c:dLbl>
            <c:dLbl>
              <c:idx val="1"/>
              <c:tx>
                <c:strRef>
                  <c:f>'SensIt Tornado KWH'!$B$12</c:f>
                  <c:strCache>
                    <c:ptCount val="1"/>
                    <c:pt idx="0">
                      <c:v>562</c:v>
                    </c:pt>
                  </c:strCache>
                </c:strRef>
              </c:tx>
              <c:showLegendKey val="0"/>
              <c:showVal val="1"/>
              <c:showCatName val="0"/>
              <c:showSerName val="0"/>
              <c:showPercent val="0"/>
              <c:showBubbleSize val="0"/>
            </c:dLbl>
            <c:dLbl>
              <c:idx val="2"/>
              <c:tx>
                <c:strRef>
                  <c:f>'SensIt Tornado KWH'!$B$13</c:f>
                  <c:strCache>
                    <c:ptCount val="1"/>
                    <c:pt idx="0">
                      <c:v>42.0</c:v>
                    </c:pt>
                  </c:strCache>
                </c:strRef>
              </c:tx>
              <c:showLegendKey val="0"/>
              <c:showVal val="1"/>
              <c:showCatName val="0"/>
              <c:showSerName val="0"/>
              <c:showPercent val="0"/>
              <c:showBubbleSize val="0"/>
            </c:dLbl>
            <c:dLbl>
              <c:idx val="3"/>
              <c:tx>
                <c:strRef>
                  <c:f>'SensIt Tornado KWH'!$B$14</c:f>
                  <c:strCache>
                    <c:ptCount val="1"/>
                    <c:pt idx="0">
                      <c:v>75%</c:v>
                    </c:pt>
                  </c:strCache>
                </c:strRef>
              </c:tx>
              <c:showLegendKey val="0"/>
              <c:showVal val="1"/>
              <c:showCatName val="0"/>
              <c:showSerName val="0"/>
              <c:showPercent val="0"/>
              <c:showBubbleSize val="0"/>
            </c:dLbl>
            <c:dLbl>
              <c:idx val="4"/>
              <c:tx>
                <c:strRef>
                  <c:f>'SensIt Tornado KWH'!$B$15</c:f>
                  <c:strCache>
                    <c:ptCount val="1"/>
                    <c:pt idx="0">
                      <c:v>1.00</c:v>
                    </c:pt>
                  </c:strCache>
                </c:strRef>
              </c:tx>
              <c:showLegendKey val="0"/>
              <c:showVal val="1"/>
              <c:showCatName val="0"/>
              <c:showSerName val="0"/>
              <c:showPercent val="0"/>
              <c:showBubbleSize val="0"/>
            </c:dLbl>
            <c:dLbl>
              <c:idx val="5"/>
              <c:tx>
                <c:strRef>
                  <c:f>'SensIt Tornado KWH'!$B$16</c:f>
                  <c:strCache>
                    <c:ptCount val="1"/>
                    <c:pt idx="0">
                      <c:v>1.00</c:v>
                    </c:pt>
                  </c:strCache>
                </c:strRef>
              </c:tx>
              <c:showLegendKey val="0"/>
              <c:showVal val="1"/>
              <c:showCatName val="0"/>
              <c:showSerName val="0"/>
              <c:showPercent val="0"/>
              <c:showBubbleSize val="0"/>
            </c:dLbl>
            <c:dLbl>
              <c:idx val="6"/>
              <c:tx>
                <c:strRef>
                  <c:f>'SensIt Tornado KWH'!$B$17</c:f>
                  <c:strCache>
                    <c:ptCount val="1"/>
                    <c:pt idx="0">
                      <c:v>7.2%</c:v>
                    </c:pt>
                  </c:strCache>
                </c:strRef>
              </c:tx>
              <c:showLegendKey val="0"/>
              <c:showVal val="1"/>
              <c:showCatName val="0"/>
              <c:showSerName val="0"/>
              <c:showPercent val="0"/>
              <c:showBubbleSize val="0"/>
            </c:dLbl>
            <c:dLbl>
              <c:idx val="7"/>
              <c:tx>
                <c:strRef>
                  <c:f>'SensIt Tornado KWH'!$B$18</c:f>
                  <c:strCache>
                    <c:ptCount val="1"/>
                    <c:pt idx="0">
                      <c:v>0.003413</c:v>
                    </c:pt>
                  </c:strCache>
                </c:strRef>
              </c:tx>
              <c:showLegendKey val="0"/>
              <c:showVal val="1"/>
              <c:showCatName val="0"/>
              <c:showSerName val="0"/>
              <c:showPercent val="0"/>
              <c:showBubbleSize val="0"/>
            </c:dLbl>
            <c:dLbl>
              <c:idx val="8"/>
              <c:tx>
                <c:strRef>
                  <c:f>'SensIt Tornado KWH'!$B$19</c:f>
                  <c:strCache>
                    <c:ptCount val="1"/>
                    <c:pt idx="0">
                      <c:v>0%</c:v>
                    </c:pt>
                  </c:strCache>
                </c:strRef>
              </c:tx>
              <c:showLegendKey val="0"/>
              <c:showVal val="1"/>
              <c:showCatName val="0"/>
              <c:showSerName val="0"/>
              <c:showPercent val="0"/>
              <c:showBubbleSize val="0"/>
            </c:dLbl>
            <c:dLbl>
              <c:idx val="9"/>
              <c:tx>
                <c:strRef>
                  <c:f>'SensIt Tornado KWH'!$B$20</c:f>
                  <c:strCache>
                    <c:ptCount val="1"/>
                    <c:pt idx="0">
                      <c:v>65%</c:v>
                    </c:pt>
                  </c:strCache>
                </c:strRef>
              </c:tx>
              <c:showLegendKey val="0"/>
              <c:showVal val="1"/>
              <c:showCatName val="0"/>
              <c:showSerName val="0"/>
              <c:showPercent val="0"/>
              <c:showBubbleSize val="0"/>
            </c:dLbl>
            <c:txPr>
              <a:bodyPr/>
              <a:lstStyle/>
              <a:p>
                <a:pPr>
                  <a:defRPr sz="800" b="0" i="0"/>
                </a:pPr>
                <a:endParaRPr lang="en-US"/>
              </a:p>
            </c:txPr>
            <c:showLegendKey val="0"/>
            <c:showVal val="1"/>
            <c:showCatName val="0"/>
            <c:showSerName val="0"/>
            <c:showPercent val="0"/>
            <c:showBubbleSize val="0"/>
            <c:showLeaderLines val="0"/>
          </c:dLbls>
          <c:cat>
            <c:strRef>
              <c:f>'SensIt Tornado KWH'!$A$11:$A$20</c:f>
              <c:strCache>
                <c:ptCount val="10"/>
                <c:pt idx="0">
                  <c:v>WattsBase</c:v>
                </c:pt>
                <c:pt idx="1">
                  <c:v>HOURS</c:v>
                </c:pt>
                <c:pt idx="2">
                  <c:v>WattsEE</c:v>
                </c:pt>
                <c:pt idx="3">
                  <c:v>ISR</c:v>
                </c:pt>
                <c:pt idx="4">
                  <c:v>WHFe</c:v>
                </c:pt>
                <c:pt idx="5">
                  <c:v>WHFd</c:v>
                </c:pt>
                <c:pt idx="6">
                  <c:v>CF</c:v>
                </c:pt>
                <c:pt idx="7">
                  <c:v>0.003413</c:v>
                </c:pt>
                <c:pt idx="8">
                  <c:v>HF</c:v>
                </c:pt>
                <c:pt idx="9">
                  <c:v>ηHeat</c:v>
                </c:pt>
              </c:strCache>
            </c:strRef>
          </c:cat>
          <c:val>
            <c:numRef>
              <c:f>'SensIt Tornado KWH'!$E$11:$E$20</c:f>
              <c:numCache>
                <c:formatCode>0</c:formatCode>
                <c:ptCount val="10"/>
                <c:pt idx="0">
                  <c:v>-10.390779849999999</c:v>
                </c:pt>
                <c:pt idx="1">
                  <c:v>25.4715615</c:v>
                </c:pt>
                <c:pt idx="2">
                  <c:v>17.003094299999997</c:v>
                </c:pt>
                <c:pt idx="3">
                  <c:v>33.558738749999996</c:v>
                </c:pt>
                <c:pt idx="4">
                  <c:v>40.101637499999995</c:v>
                </c:pt>
                <c:pt idx="5">
                  <c:v>42.507735749999995</c:v>
                </c:pt>
                <c:pt idx="6">
                  <c:v>42.507735749999995</c:v>
                </c:pt>
                <c:pt idx="7">
                  <c:v>42.507735749999995</c:v>
                </c:pt>
                <c:pt idx="8">
                  <c:v>42.507735749999995</c:v>
                </c:pt>
                <c:pt idx="9">
                  <c:v>42.507735749999995</c:v>
                </c:pt>
              </c:numCache>
            </c:numRef>
          </c:val>
        </c:ser>
        <c:ser>
          <c:idx val="1"/>
          <c:order val="1"/>
          <c:tx>
            <c:v>Bars on Right</c:v>
          </c:tx>
          <c:spPr>
            <a:solidFill>
              <a:srgbClr val="000000"/>
            </a:solidFill>
          </c:spPr>
          <c:invertIfNegative val="0"/>
          <c:dLbls>
            <c:dLbl>
              <c:idx val="0"/>
              <c:tx>
                <c:strRef>
                  <c:f>'SensIt Tornado KWH'!$D$11</c:f>
                  <c:strCache>
                    <c:ptCount val="1"/>
                    <c:pt idx="0">
                      <c:v>150.0</c:v>
                    </c:pt>
                  </c:strCache>
                </c:strRef>
              </c:tx>
              <c:showLegendKey val="0"/>
              <c:showVal val="1"/>
              <c:showCatName val="0"/>
              <c:showSerName val="0"/>
              <c:showPercent val="0"/>
              <c:showBubbleSize val="0"/>
            </c:dLbl>
            <c:dLbl>
              <c:idx val="1"/>
              <c:tx>
                <c:strRef>
                  <c:f>'SensIt Tornado KWH'!$D$12</c:f>
                  <c:strCache>
                    <c:ptCount val="1"/>
                    <c:pt idx="0">
                      <c:v>1825</c:v>
                    </c:pt>
                  </c:strCache>
                </c:strRef>
              </c:tx>
              <c:showLegendKey val="0"/>
              <c:showVal val="1"/>
              <c:showCatName val="0"/>
              <c:showSerName val="0"/>
              <c:showPercent val="0"/>
              <c:showBubbleSize val="0"/>
            </c:dLbl>
            <c:dLbl>
              <c:idx val="2"/>
              <c:tx>
                <c:strRef>
                  <c:f>'SensIt Tornado KWH'!$D$13</c:f>
                  <c:strCache>
                    <c:ptCount val="1"/>
                    <c:pt idx="0">
                      <c:v>3.0</c:v>
                    </c:pt>
                  </c:strCache>
                </c:strRef>
              </c:tx>
              <c:showLegendKey val="0"/>
              <c:showVal val="1"/>
              <c:showCatName val="0"/>
              <c:showSerName val="0"/>
              <c:showPercent val="0"/>
              <c:showBubbleSize val="0"/>
            </c:dLbl>
            <c:dLbl>
              <c:idx val="3"/>
              <c:tx>
                <c:strRef>
                  <c:f>'SensIt Tornado KWH'!$D$14</c:f>
                  <c:strCache>
                    <c:ptCount val="1"/>
                    <c:pt idx="0">
                      <c:v>100%</c:v>
                    </c:pt>
                  </c:strCache>
                </c:strRef>
              </c:tx>
              <c:showLegendKey val="0"/>
              <c:showVal val="1"/>
              <c:showCatName val="0"/>
              <c:showSerName val="0"/>
              <c:showPercent val="0"/>
              <c:showBubbleSize val="0"/>
            </c:dLbl>
            <c:dLbl>
              <c:idx val="4"/>
              <c:tx>
                <c:strRef>
                  <c:f>'SensIt Tornado KWH'!$D$15</c:f>
                  <c:strCache>
                    <c:ptCount val="1"/>
                    <c:pt idx="0">
                      <c:v>1.15</c:v>
                    </c:pt>
                  </c:strCache>
                </c:strRef>
              </c:tx>
              <c:showLegendKey val="0"/>
              <c:showVal val="1"/>
              <c:showCatName val="0"/>
              <c:showSerName val="0"/>
              <c:showPercent val="0"/>
              <c:showBubbleSize val="0"/>
            </c:dLbl>
            <c:dLbl>
              <c:idx val="5"/>
              <c:tx>
                <c:strRef>
                  <c:f>'SensIt Tornado KWH'!$D$16</c:f>
                  <c:strCache>
                    <c:ptCount val="1"/>
                    <c:pt idx="0">
                      <c:v>1.30</c:v>
                    </c:pt>
                  </c:strCache>
                </c:strRef>
              </c:tx>
              <c:showLegendKey val="0"/>
              <c:showVal val="1"/>
              <c:showCatName val="0"/>
              <c:showSerName val="0"/>
              <c:showPercent val="0"/>
              <c:showBubbleSize val="0"/>
            </c:dLbl>
            <c:dLbl>
              <c:idx val="6"/>
              <c:tx>
                <c:strRef>
                  <c:f>'SensIt Tornado KWH'!$D$17</c:f>
                  <c:strCache>
                    <c:ptCount val="1"/>
                    <c:pt idx="0">
                      <c:v>18.4%</c:v>
                    </c:pt>
                  </c:strCache>
                </c:strRef>
              </c:tx>
              <c:showLegendKey val="0"/>
              <c:showVal val="1"/>
              <c:showCatName val="0"/>
              <c:showSerName val="0"/>
              <c:showPercent val="0"/>
              <c:showBubbleSize val="0"/>
            </c:dLbl>
            <c:dLbl>
              <c:idx val="7"/>
              <c:tx>
                <c:strRef>
                  <c:f>'SensIt Tornado KWH'!$D$18</c:f>
                  <c:strCache>
                    <c:ptCount val="1"/>
                    <c:pt idx="0">
                      <c:v>0.003413</c:v>
                    </c:pt>
                  </c:strCache>
                </c:strRef>
              </c:tx>
              <c:showLegendKey val="0"/>
              <c:showVal val="1"/>
              <c:showCatName val="0"/>
              <c:showSerName val="0"/>
              <c:showPercent val="0"/>
              <c:showBubbleSize val="0"/>
            </c:dLbl>
            <c:dLbl>
              <c:idx val="8"/>
              <c:tx>
                <c:strRef>
                  <c:f>'SensIt Tornado KWH'!$D$19</c:f>
                  <c:strCache>
                    <c:ptCount val="1"/>
                    <c:pt idx="0">
                      <c:v>50%</c:v>
                    </c:pt>
                  </c:strCache>
                </c:strRef>
              </c:tx>
              <c:showLegendKey val="0"/>
              <c:showVal val="1"/>
              <c:showCatName val="0"/>
              <c:showSerName val="0"/>
              <c:showPercent val="0"/>
              <c:showBubbleSize val="0"/>
            </c:dLbl>
            <c:dLbl>
              <c:idx val="9"/>
              <c:tx>
                <c:strRef>
                  <c:f>'SensIt Tornado KWH'!$D$20</c:f>
                  <c:strCache>
                    <c:ptCount val="1"/>
                    <c:pt idx="0">
                      <c:v>75%</c:v>
                    </c:pt>
                  </c:strCache>
                </c:strRef>
              </c:tx>
              <c:showLegendKey val="0"/>
              <c:showVal val="1"/>
              <c:showCatName val="0"/>
              <c:showSerName val="0"/>
              <c:showPercent val="0"/>
              <c:showBubbleSize val="0"/>
            </c:dLbl>
            <c:txPr>
              <a:bodyPr/>
              <a:lstStyle/>
              <a:p>
                <a:pPr>
                  <a:defRPr sz="800" b="0" i="0"/>
                </a:pPr>
                <a:endParaRPr lang="en-US"/>
              </a:p>
            </c:txPr>
            <c:showLegendKey val="0"/>
            <c:showVal val="1"/>
            <c:showCatName val="0"/>
            <c:showSerName val="0"/>
            <c:showPercent val="0"/>
            <c:showBubbleSize val="0"/>
            <c:showLeaderLines val="0"/>
          </c:dLbls>
          <c:cat>
            <c:strRef>
              <c:f>'SensIt Tornado KWH'!$A$11:$A$20</c:f>
              <c:strCache>
                <c:ptCount val="10"/>
                <c:pt idx="0">
                  <c:v>WattsBase</c:v>
                </c:pt>
                <c:pt idx="1">
                  <c:v>HOURS</c:v>
                </c:pt>
                <c:pt idx="2">
                  <c:v>WattsEE</c:v>
                </c:pt>
                <c:pt idx="3">
                  <c:v>ISR</c:v>
                </c:pt>
                <c:pt idx="4">
                  <c:v>WHFe</c:v>
                </c:pt>
                <c:pt idx="5">
                  <c:v>WHFd</c:v>
                </c:pt>
                <c:pt idx="6">
                  <c:v>CF</c:v>
                </c:pt>
                <c:pt idx="7">
                  <c:v>0.003413</c:v>
                </c:pt>
                <c:pt idx="8">
                  <c:v>HF</c:v>
                </c:pt>
                <c:pt idx="9">
                  <c:v>ηHeat</c:v>
                </c:pt>
              </c:strCache>
            </c:strRef>
          </c:cat>
          <c:val>
            <c:numRef>
              <c:f>'SensIt Tornado KWH'!$G$11:$G$20</c:f>
              <c:numCache>
                <c:formatCode>0</c:formatCode>
                <c:ptCount val="10"/>
                <c:pt idx="0">
                  <c:v>127.52320725000001</c:v>
                </c:pt>
                <c:pt idx="1">
                  <c:v>82.699875000000006</c:v>
                </c:pt>
                <c:pt idx="2">
                  <c:v>53.84313195</c:v>
                </c:pt>
                <c:pt idx="3">
                  <c:v>44.744985</c:v>
                </c:pt>
                <c:pt idx="4">
                  <c:v>46.116883124999994</c:v>
                </c:pt>
                <c:pt idx="5">
                  <c:v>42.507735750000002</c:v>
                </c:pt>
                <c:pt idx="6">
                  <c:v>42.507735749999995</c:v>
                </c:pt>
                <c:pt idx="7">
                  <c:v>42.507735749999995</c:v>
                </c:pt>
                <c:pt idx="8">
                  <c:v>42.507735749999995</c:v>
                </c:pt>
                <c:pt idx="9">
                  <c:v>42.507735749999995</c:v>
                </c:pt>
              </c:numCache>
            </c:numRef>
          </c:val>
        </c:ser>
        <c:dLbls>
          <c:showLegendKey val="0"/>
          <c:showVal val="0"/>
          <c:showCatName val="0"/>
          <c:showSerName val="0"/>
          <c:showPercent val="0"/>
          <c:showBubbleSize val="0"/>
        </c:dLbls>
        <c:gapWidth val="200"/>
        <c:overlap val="100"/>
        <c:axId val="116037888"/>
        <c:axId val="121624064"/>
      </c:barChart>
      <c:catAx>
        <c:axId val="116037888"/>
        <c:scaling>
          <c:orientation val="maxMin"/>
        </c:scaling>
        <c:delete val="0"/>
        <c:axPos val="l"/>
        <c:majorTickMark val="none"/>
        <c:minorTickMark val="none"/>
        <c:tickLblPos val="low"/>
        <c:spPr>
          <a:ln w="12700">
            <a:solidFill>
              <a:srgbClr val="000000"/>
            </a:solidFill>
            <a:prstDash val="solid"/>
          </a:ln>
        </c:spPr>
        <c:txPr>
          <a:bodyPr/>
          <a:lstStyle/>
          <a:p>
            <a:pPr>
              <a:defRPr sz="1000" b="0" i="0"/>
            </a:pPr>
            <a:endParaRPr lang="en-US"/>
          </a:p>
        </c:txPr>
        <c:crossAx val="121624064"/>
        <c:crossesAt val="42.507735749999995"/>
        <c:auto val="0"/>
        <c:lblAlgn val="ctr"/>
        <c:lblOffset val="100"/>
        <c:noMultiLvlLbl val="0"/>
      </c:catAx>
      <c:valAx>
        <c:axId val="121624064"/>
        <c:scaling>
          <c:orientation val="minMax"/>
          <c:max val="160"/>
          <c:min val="-40"/>
        </c:scaling>
        <c:delete val="0"/>
        <c:axPos val="b"/>
        <c:title>
          <c:tx>
            <c:rich>
              <a:bodyPr/>
              <a:lstStyle/>
              <a:p>
                <a:pPr>
                  <a:defRPr sz="1000" b="0" i="0"/>
                </a:pPr>
                <a:r>
                  <a:rPr lang="en-US" sz="1000" b="0" i="0"/>
                  <a:t>kWh</a:t>
                </a:r>
              </a:p>
            </c:rich>
          </c:tx>
          <c:overlay val="0"/>
        </c:title>
        <c:numFmt formatCode="0" sourceLinked="1"/>
        <c:majorTickMark val="out"/>
        <c:minorTickMark val="none"/>
        <c:tickLblPos val="nextTo"/>
        <c:spPr>
          <a:ln w="12700">
            <a:solidFill>
              <a:srgbClr val="000000"/>
            </a:solidFill>
            <a:prstDash val="solid"/>
          </a:ln>
        </c:spPr>
        <c:txPr>
          <a:bodyPr/>
          <a:lstStyle/>
          <a:p>
            <a:pPr>
              <a:defRPr sz="800"/>
            </a:pPr>
            <a:endParaRPr lang="en-US"/>
          </a:p>
        </c:txPr>
        <c:crossAx val="116037888"/>
        <c:crosses val="max"/>
        <c:crossBetween val="between"/>
        <c:majorUnit val="20"/>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a:pPr>
            <a:r>
              <a:rPr lang="en-US" sz="1000" b="0" i="0"/>
              <a:t>SensIt 1.45</a:t>
            </a:r>
          </a:p>
        </c:rich>
      </c:tx>
      <c:overlay val="0"/>
    </c:title>
    <c:autoTitleDeleted val="0"/>
    <c:plotArea>
      <c:layout/>
      <c:barChart>
        <c:barDir val="bar"/>
        <c:grouping val="clustered"/>
        <c:varyColors val="0"/>
        <c:ser>
          <c:idx val="0"/>
          <c:order val="0"/>
          <c:tx>
            <c:v>Bars on Left</c:v>
          </c:tx>
          <c:spPr>
            <a:solidFill>
              <a:srgbClr val="000000"/>
            </a:solidFill>
          </c:spPr>
          <c:invertIfNegative val="0"/>
          <c:dLbls>
            <c:dLbl>
              <c:idx val="0"/>
              <c:tx>
                <c:strRef>
                  <c:f>'SensIt Tornado kW'!$B$11</c:f>
                  <c:strCache>
                    <c:ptCount val="1"/>
                    <c:pt idx="0">
                      <c:v>4.0</c:v>
                    </c:pt>
                  </c:strCache>
                </c:strRef>
              </c:tx>
              <c:showLegendKey val="0"/>
              <c:showVal val="1"/>
              <c:showCatName val="0"/>
              <c:showSerName val="0"/>
              <c:showPercent val="0"/>
              <c:showBubbleSize val="0"/>
            </c:dLbl>
            <c:dLbl>
              <c:idx val="1"/>
              <c:tx>
                <c:strRef>
                  <c:f>'SensIt Tornado kW'!$B$12</c:f>
                  <c:strCache>
                    <c:ptCount val="1"/>
                    <c:pt idx="0">
                      <c:v>7.2%</c:v>
                    </c:pt>
                  </c:strCache>
                </c:strRef>
              </c:tx>
              <c:showLegendKey val="0"/>
              <c:showVal val="1"/>
              <c:showCatName val="0"/>
              <c:showSerName val="0"/>
              <c:showPercent val="0"/>
              <c:showBubbleSize val="0"/>
            </c:dLbl>
            <c:dLbl>
              <c:idx val="2"/>
              <c:tx>
                <c:strRef>
                  <c:f>'SensIt Tornado kW'!$B$13</c:f>
                  <c:strCache>
                    <c:ptCount val="1"/>
                    <c:pt idx="0">
                      <c:v>42.0</c:v>
                    </c:pt>
                  </c:strCache>
                </c:strRef>
              </c:tx>
              <c:showLegendKey val="0"/>
              <c:showVal val="1"/>
              <c:showCatName val="0"/>
              <c:showSerName val="0"/>
              <c:showPercent val="0"/>
              <c:showBubbleSize val="0"/>
            </c:dLbl>
            <c:dLbl>
              <c:idx val="3"/>
              <c:tx>
                <c:strRef>
                  <c:f>'SensIt Tornado kW'!$B$14</c:f>
                  <c:strCache>
                    <c:ptCount val="1"/>
                    <c:pt idx="0">
                      <c:v>75%</c:v>
                    </c:pt>
                  </c:strCache>
                </c:strRef>
              </c:tx>
              <c:showLegendKey val="0"/>
              <c:showVal val="1"/>
              <c:showCatName val="0"/>
              <c:showSerName val="0"/>
              <c:showPercent val="0"/>
              <c:showBubbleSize val="0"/>
            </c:dLbl>
            <c:dLbl>
              <c:idx val="4"/>
              <c:tx>
                <c:strRef>
                  <c:f>'SensIt Tornado kW'!$B$15</c:f>
                  <c:strCache>
                    <c:ptCount val="1"/>
                    <c:pt idx="0">
                      <c:v>1.00</c:v>
                    </c:pt>
                  </c:strCache>
                </c:strRef>
              </c:tx>
              <c:showLegendKey val="0"/>
              <c:showVal val="1"/>
              <c:showCatName val="0"/>
              <c:showSerName val="0"/>
              <c:showPercent val="0"/>
              <c:showBubbleSize val="0"/>
            </c:dLbl>
            <c:dLbl>
              <c:idx val="5"/>
              <c:tx>
                <c:strRef>
                  <c:f>'SensIt Tornado kW'!$B$16</c:f>
                  <c:strCache>
                    <c:ptCount val="1"/>
                    <c:pt idx="0">
                      <c:v>562</c:v>
                    </c:pt>
                  </c:strCache>
                </c:strRef>
              </c:tx>
              <c:showLegendKey val="0"/>
              <c:showVal val="1"/>
              <c:showCatName val="0"/>
              <c:showSerName val="0"/>
              <c:showPercent val="0"/>
              <c:showBubbleSize val="0"/>
            </c:dLbl>
            <c:dLbl>
              <c:idx val="6"/>
              <c:tx>
                <c:strRef>
                  <c:f>'SensIt Tornado kW'!$B$17</c:f>
                  <c:strCache>
                    <c:ptCount val="1"/>
                    <c:pt idx="0">
                      <c:v>1.00</c:v>
                    </c:pt>
                  </c:strCache>
                </c:strRef>
              </c:tx>
              <c:showLegendKey val="0"/>
              <c:showVal val="1"/>
              <c:showCatName val="0"/>
              <c:showSerName val="0"/>
              <c:showPercent val="0"/>
              <c:showBubbleSize val="0"/>
            </c:dLbl>
            <c:dLbl>
              <c:idx val="7"/>
              <c:tx>
                <c:strRef>
                  <c:f>'SensIt Tornado kW'!$B$18</c:f>
                  <c:strCache>
                    <c:ptCount val="1"/>
                    <c:pt idx="0">
                      <c:v>0.003413</c:v>
                    </c:pt>
                  </c:strCache>
                </c:strRef>
              </c:tx>
              <c:showLegendKey val="0"/>
              <c:showVal val="1"/>
              <c:showCatName val="0"/>
              <c:showSerName val="0"/>
              <c:showPercent val="0"/>
              <c:showBubbleSize val="0"/>
            </c:dLbl>
            <c:dLbl>
              <c:idx val="8"/>
              <c:tx>
                <c:strRef>
                  <c:f>'SensIt Tornado kW'!$B$19</c:f>
                  <c:strCache>
                    <c:ptCount val="1"/>
                    <c:pt idx="0">
                      <c:v>0%</c:v>
                    </c:pt>
                  </c:strCache>
                </c:strRef>
              </c:tx>
              <c:showLegendKey val="0"/>
              <c:showVal val="1"/>
              <c:showCatName val="0"/>
              <c:showSerName val="0"/>
              <c:showPercent val="0"/>
              <c:showBubbleSize val="0"/>
            </c:dLbl>
            <c:dLbl>
              <c:idx val="9"/>
              <c:tx>
                <c:strRef>
                  <c:f>'SensIt Tornado kW'!$B$20</c:f>
                  <c:strCache>
                    <c:ptCount val="1"/>
                    <c:pt idx="0">
                      <c:v>65%</c:v>
                    </c:pt>
                  </c:strCache>
                </c:strRef>
              </c:tx>
              <c:showLegendKey val="0"/>
              <c:showVal val="1"/>
              <c:showCatName val="0"/>
              <c:showSerName val="0"/>
              <c:showPercent val="0"/>
              <c:showBubbleSize val="0"/>
            </c:dLbl>
            <c:txPr>
              <a:bodyPr/>
              <a:lstStyle/>
              <a:p>
                <a:pPr>
                  <a:defRPr sz="800" b="0" i="0"/>
                </a:pPr>
                <a:endParaRPr lang="en-US"/>
              </a:p>
            </c:txPr>
            <c:showLegendKey val="0"/>
            <c:showVal val="1"/>
            <c:showCatName val="0"/>
            <c:showSerName val="0"/>
            <c:showPercent val="0"/>
            <c:showBubbleSize val="0"/>
            <c:showLeaderLines val="0"/>
          </c:dLbls>
          <c:cat>
            <c:strRef>
              <c:f>'SensIt Tornado kW'!$A$11:$A$20</c:f>
              <c:strCache>
                <c:ptCount val="10"/>
                <c:pt idx="0">
                  <c:v>WattsBase</c:v>
                </c:pt>
                <c:pt idx="1">
                  <c:v>CF</c:v>
                </c:pt>
                <c:pt idx="2">
                  <c:v>WattsEE</c:v>
                </c:pt>
                <c:pt idx="3">
                  <c:v>ISR</c:v>
                </c:pt>
                <c:pt idx="4">
                  <c:v>WHFd</c:v>
                </c:pt>
                <c:pt idx="5">
                  <c:v>HOURS</c:v>
                </c:pt>
                <c:pt idx="6">
                  <c:v>WHFe</c:v>
                </c:pt>
                <c:pt idx="7">
                  <c:v>0.003413</c:v>
                </c:pt>
                <c:pt idx="8">
                  <c:v>HF</c:v>
                </c:pt>
                <c:pt idx="9">
                  <c:v>ηHeat</c:v>
                </c:pt>
              </c:strCache>
            </c:strRef>
          </c:cat>
          <c:val>
            <c:numRef>
              <c:f>'SensIt Tornado kW'!$E$11:$E$20</c:f>
              <c:numCache>
                <c:formatCode>0.000</c:formatCode>
                <c:ptCount val="10"/>
                <c:pt idx="0">
                  <c:v>-1.2012275E-3</c:v>
                </c:pt>
                <c:pt idx="1">
                  <c:v>3.7243799999999994E-3</c:v>
                </c:pt>
                <c:pt idx="2">
                  <c:v>1.9656449999999998E-3</c:v>
                </c:pt>
                <c:pt idx="3">
                  <c:v>3.8795624999999998E-3</c:v>
                </c:pt>
                <c:pt idx="4">
                  <c:v>4.0612499999999998E-3</c:v>
                </c:pt>
                <c:pt idx="5">
                  <c:v>4.9141124999999997E-3</c:v>
                </c:pt>
                <c:pt idx="6">
                  <c:v>4.9141124999999997E-3</c:v>
                </c:pt>
                <c:pt idx="7">
                  <c:v>4.9141124999999997E-3</c:v>
                </c:pt>
                <c:pt idx="8">
                  <c:v>4.9141124999999997E-3</c:v>
                </c:pt>
                <c:pt idx="9">
                  <c:v>4.9141124999999997E-3</c:v>
                </c:pt>
              </c:numCache>
            </c:numRef>
          </c:val>
        </c:ser>
        <c:ser>
          <c:idx val="1"/>
          <c:order val="1"/>
          <c:tx>
            <c:v>Bars on Right</c:v>
          </c:tx>
          <c:spPr>
            <a:solidFill>
              <a:srgbClr val="000000"/>
            </a:solidFill>
          </c:spPr>
          <c:invertIfNegative val="0"/>
          <c:dLbls>
            <c:dLbl>
              <c:idx val="0"/>
              <c:tx>
                <c:strRef>
                  <c:f>'SensIt Tornado kW'!$D$11</c:f>
                  <c:strCache>
                    <c:ptCount val="1"/>
                    <c:pt idx="0">
                      <c:v>150.0</c:v>
                    </c:pt>
                  </c:strCache>
                </c:strRef>
              </c:tx>
              <c:showLegendKey val="0"/>
              <c:showVal val="1"/>
              <c:showCatName val="0"/>
              <c:showSerName val="0"/>
              <c:showPercent val="0"/>
              <c:showBubbleSize val="0"/>
            </c:dLbl>
            <c:dLbl>
              <c:idx val="1"/>
              <c:tx>
                <c:strRef>
                  <c:f>'SensIt Tornado kW'!$D$12</c:f>
                  <c:strCache>
                    <c:ptCount val="1"/>
                    <c:pt idx="0">
                      <c:v>18.4%</c:v>
                    </c:pt>
                  </c:strCache>
                </c:strRef>
              </c:tx>
              <c:showLegendKey val="0"/>
              <c:showVal val="1"/>
              <c:showCatName val="0"/>
              <c:showSerName val="0"/>
              <c:showPercent val="0"/>
              <c:showBubbleSize val="0"/>
            </c:dLbl>
            <c:dLbl>
              <c:idx val="2"/>
              <c:tx>
                <c:strRef>
                  <c:f>'SensIt Tornado kW'!$D$13</c:f>
                  <c:strCache>
                    <c:ptCount val="1"/>
                    <c:pt idx="0">
                      <c:v>3.0</c:v>
                    </c:pt>
                  </c:strCache>
                </c:strRef>
              </c:tx>
              <c:showLegendKey val="0"/>
              <c:showVal val="1"/>
              <c:showCatName val="0"/>
              <c:showSerName val="0"/>
              <c:showPercent val="0"/>
              <c:showBubbleSize val="0"/>
            </c:dLbl>
            <c:dLbl>
              <c:idx val="3"/>
              <c:tx>
                <c:strRef>
                  <c:f>'SensIt Tornado kW'!$D$14</c:f>
                  <c:strCache>
                    <c:ptCount val="1"/>
                    <c:pt idx="0">
                      <c:v>100%</c:v>
                    </c:pt>
                  </c:strCache>
                </c:strRef>
              </c:tx>
              <c:showLegendKey val="0"/>
              <c:showVal val="1"/>
              <c:showCatName val="0"/>
              <c:showSerName val="0"/>
              <c:showPercent val="0"/>
              <c:showBubbleSize val="0"/>
            </c:dLbl>
            <c:dLbl>
              <c:idx val="4"/>
              <c:tx>
                <c:strRef>
                  <c:f>'SensIt Tornado kW'!$D$15</c:f>
                  <c:strCache>
                    <c:ptCount val="1"/>
                    <c:pt idx="0">
                      <c:v>1.30</c:v>
                    </c:pt>
                  </c:strCache>
                </c:strRef>
              </c:tx>
              <c:showLegendKey val="0"/>
              <c:showVal val="1"/>
              <c:showCatName val="0"/>
              <c:showSerName val="0"/>
              <c:showPercent val="0"/>
              <c:showBubbleSize val="0"/>
            </c:dLbl>
            <c:dLbl>
              <c:idx val="5"/>
              <c:tx>
                <c:strRef>
                  <c:f>'SensIt Tornado kW'!$D$16</c:f>
                  <c:strCache>
                    <c:ptCount val="1"/>
                    <c:pt idx="0">
                      <c:v>1825</c:v>
                    </c:pt>
                  </c:strCache>
                </c:strRef>
              </c:tx>
              <c:showLegendKey val="0"/>
              <c:showVal val="1"/>
              <c:showCatName val="0"/>
              <c:showSerName val="0"/>
              <c:showPercent val="0"/>
              <c:showBubbleSize val="0"/>
            </c:dLbl>
            <c:dLbl>
              <c:idx val="6"/>
              <c:tx>
                <c:strRef>
                  <c:f>'SensIt Tornado kW'!$D$17</c:f>
                  <c:strCache>
                    <c:ptCount val="1"/>
                    <c:pt idx="0">
                      <c:v>1.15</c:v>
                    </c:pt>
                  </c:strCache>
                </c:strRef>
              </c:tx>
              <c:showLegendKey val="0"/>
              <c:showVal val="1"/>
              <c:showCatName val="0"/>
              <c:showSerName val="0"/>
              <c:showPercent val="0"/>
              <c:showBubbleSize val="0"/>
            </c:dLbl>
            <c:dLbl>
              <c:idx val="7"/>
              <c:tx>
                <c:strRef>
                  <c:f>'SensIt Tornado kW'!$D$18</c:f>
                  <c:strCache>
                    <c:ptCount val="1"/>
                    <c:pt idx="0">
                      <c:v>0.003413</c:v>
                    </c:pt>
                  </c:strCache>
                </c:strRef>
              </c:tx>
              <c:showLegendKey val="0"/>
              <c:showVal val="1"/>
              <c:showCatName val="0"/>
              <c:showSerName val="0"/>
              <c:showPercent val="0"/>
              <c:showBubbleSize val="0"/>
            </c:dLbl>
            <c:dLbl>
              <c:idx val="8"/>
              <c:tx>
                <c:strRef>
                  <c:f>'SensIt Tornado kW'!$D$19</c:f>
                  <c:strCache>
                    <c:ptCount val="1"/>
                    <c:pt idx="0">
                      <c:v>50%</c:v>
                    </c:pt>
                  </c:strCache>
                </c:strRef>
              </c:tx>
              <c:showLegendKey val="0"/>
              <c:showVal val="1"/>
              <c:showCatName val="0"/>
              <c:showSerName val="0"/>
              <c:showPercent val="0"/>
              <c:showBubbleSize val="0"/>
            </c:dLbl>
            <c:dLbl>
              <c:idx val="9"/>
              <c:tx>
                <c:strRef>
                  <c:f>'SensIt Tornado kW'!$D$20</c:f>
                  <c:strCache>
                    <c:ptCount val="1"/>
                    <c:pt idx="0">
                      <c:v>75%</c:v>
                    </c:pt>
                  </c:strCache>
                </c:strRef>
              </c:tx>
              <c:showLegendKey val="0"/>
              <c:showVal val="1"/>
              <c:showCatName val="0"/>
              <c:showSerName val="0"/>
              <c:showPercent val="0"/>
              <c:showBubbleSize val="0"/>
            </c:dLbl>
            <c:txPr>
              <a:bodyPr/>
              <a:lstStyle/>
              <a:p>
                <a:pPr>
                  <a:defRPr sz="800" b="0" i="0"/>
                </a:pPr>
                <a:endParaRPr lang="en-US"/>
              </a:p>
            </c:txPr>
            <c:showLegendKey val="0"/>
            <c:showVal val="1"/>
            <c:showCatName val="0"/>
            <c:showSerName val="0"/>
            <c:showPercent val="0"/>
            <c:showBubbleSize val="0"/>
            <c:showLeaderLines val="0"/>
          </c:dLbls>
          <c:cat>
            <c:strRef>
              <c:f>'SensIt Tornado kW'!$A$11:$A$20</c:f>
              <c:strCache>
                <c:ptCount val="10"/>
                <c:pt idx="0">
                  <c:v>WattsBase</c:v>
                </c:pt>
                <c:pt idx="1">
                  <c:v>CF</c:v>
                </c:pt>
                <c:pt idx="2">
                  <c:v>WattsEE</c:v>
                </c:pt>
                <c:pt idx="3">
                  <c:v>ISR</c:v>
                </c:pt>
                <c:pt idx="4">
                  <c:v>WHFd</c:v>
                </c:pt>
                <c:pt idx="5">
                  <c:v>HOURS</c:v>
                </c:pt>
                <c:pt idx="6">
                  <c:v>WHFe</c:v>
                </c:pt>
                <c:pt idx="7">
                  <c:v>0.003413</c:v>
                </c:pt>
                <c:pt idx="8">
                  <c:v>HF</c:v>
                </c:pt>
                <c:pt idx="9">
                  <c:v>ηHeat</c:v>
                </c:pt>
              </c:strCache>
            </c:strRef>
          </c:cat>
          <c:val>
            <c:numRef>
              <c:f>'SensIt Tornado kW'!$G$11:$G$20</c:f>
              <c:numCache>
                <c:formatCode>0.000</c:formatCode>
                <c:ptCount val="10"/>
                <c:pt idx="0">
                  <c:v>1.4742337500000001E-2</c:v>
                </c:pt>
                <c:pt idx="1">
                  <c:v>9.5178599999999995E-3</c:v>
                </c:pt>
                <c:pt idx="2">
                  <c:v>6.2245424999999993E-3</c:v>
                </c:pt>
                <c:pt idx="3">
                  <c:v>5.1727500000000003E-3</c:v>
                </c:pt>
                <c:pt idx="4">
                  <c:v>5.2796249999999996E-3</c:v>
                </c:pt>
                <c:pt idx="5">
                  <c:v>4.9141124999999997E-3</c:v>
                </c:pt>
                <c:pt idx="6">
                  <c:v>4.9141124999999997E-3</c:v>
                </c:pt>
                <c:pt idx="7">
                  <c:v>4.9141124999999997E-3</c:v>
                </c:pt>
                <c:pt idx="8">
                  <c:v>4.9141124999999997E-3</c:v>
                </c:pt>
                <c:pt idx="9">
                  <c:v>4.9141124999999997E-3</c:v>
                </c:pt>
              </c:numCache>
            </c:numRef>
          </c:val>
        </c:ser>
        <c:dLbls>
          <c:showLegendKey val="0"/>
          <c:showVal val="0"/>
          <c:showCatName val="0"/>
          <c:showSerName val="0"/>
          <c:showPercent val="0"/>
          <c:showBubbleSize val="0"/>
        </c:dLbls>
        <c:gapWidth val="200"/>
        <c:overlap val="100"/>
        <c:axId val="124199296"/>
        <c:axId val="124201984"/>
      </c:barChart>
      <c:catAx>
        <c:axId val="124199296"/>
        <c:scaling>
          <c:orientation val="maxMin"/>
        </c:scaling>
        <c:delete val="0"/>
        <c:axPos val="l"/>
        <c:majorTickMark val="none"/>
        <c:minorTickMark val="none"/>
        <c:tickLblPos val="low"/>
        <c:spPr>
          <a:ln w="12700">
            <a:solidFill>
              <a:srgbClr val="000000"/>
            </a:solidFill>
            <a:prstDash val="solid"/>
          </a:ln>
        </c:spPr>
        <c:txPr>
          <a:bodyPr/>
          <a:lstStyle/>
          <a:p>
            <a:pPr>
              <a:defRPr sz="1000" b="0" i="0"/>
            </a:pPr>
            <a:endParaRPr lang="en-US"/>
          </a:p>
        </c:txPr>
        <c:crossAx val="124201984"/>
        <c:crossesAt val="4.9141124999999997E-3"/>
        <c:auto val="0"/>
        <c:lblAlgn val="ctr"/>
        <c:lblOffset val="100"/>
        <c:noMultiLvlLbl val="0"/>
      </c:catAx>
      <c:valAx>
        <c:axId val="124201984"/>
        <c:scaling>
          <c:orientation val="minMax"/>
          <c:max val="1.8000000000000002E-2"/>
          <c:min val="-4.0000000000000001E-3"/>
        </c:scaling>
        <c:delete val="0"/>
        <c:axPos val="b"/>
        <c:title>
          <c:tx>
            <c:rich>
              <a:bodyPr/>
              <a:lstStyle/>
              <a:p>
                <a:pPr>
                  <a:defRPr sz="1000" b="0" i="0"/>
                </a:pPr>
                <a:r>
                  <a:rPr lang="en-US" sz="1000" b="0" i="0"/>
                  <a:t>kW</a:t>
                </a:r>
              </a:p>
            </c:rich>
          </c:tx>
          <c:overlay val="0"/>
        </c:title>
        <c:numFmt formatCode="0.000" sourceLinked="1"/>
        <c:majorTickMark val="out"/>
        <c:minorTickMark val="none"/>
        <c:tickLblPos val="nextTo"/>
        <c:spPr>
          <a:ln w="12700">
            <a:solidFill>
              <a:srgbClr val="000000"/>
            </a:solidFill>
            <a:prstDash val="solid"/>
          </a:ln>
        </c:spPr>
        <c:txPr>
          <a:bodyPr/>
          <a:lstStyle/>
          <a:p>
            <a:pPr>
              <a:defRPr sz="800"/>
            </a:pPr>
            <a:endParaRPr lang="en-US"/>
          </a:p>
        </c:txPr>
        <c:crossAx val="124199296"/>
        <c:crosses val="max"/>
        <c:crossBetween val="between"/>
        <c:majorUnit val="2E-3"/>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38100</xdr:colOff>
      <xdr:row>21</xdr:row>
      <xdr:rowOff>0</xdr:rowOff>
    </xdr:from>
    <xdr:to>
      <xdr:col>8</xdr:col>
      <xdr:colOff>476250</xdr:colOff>
      <xdr:row>52</xdr:row>
      <xdr:rowOff>19050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21</xdr:row>
      <xdr:rowOff>0</xdr:rowOff>
    </xdr:from>
    <xdr:to>
      <xdr:col>8</xdr:col>
      <xdr:colOff>476250</xdr:colOff>
      <xdr:row>52</xdr:row>
      <xdr:rowOff>19050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energystar.gov/index.cfm?c=cfls.pr_cfls_lumen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156"/>
  <sheetViews>
    <sheetView tabSelected="1" topLeftCell="A82" zoomScale="70" zoomScaleNormal="70" workbookViewId="0">
      <selection activeCell="D116" sqref="D116"/>
    </sheetView>
  </sheetViews>
  <sheetFormatPr defaultRowHeight="12.75" x14ac:dyDescent="0.2"/>
  <cols>
    <col min="1" max="1" width="2.5703125" customWidth="1"/>
    <col min="2" max="2" width="7.28515625" customWidth="1"/>
    <col min="3" max="3" width="40.28515625" customWidth="1"/>
    <col min="4" max="4" width="21.7109375" customWidth="1"/>
    <col min="5" max="5" width="14.42578125" customWidth="1"/>
    <col min="6" max="6" width="15.7109375" customWidth="1"/>
    <col min="7" max="7" width="10.42578125" customWidth="1"/>
    <col min="8" max="8" width="10.5703125" customWidth="1"/>
    <col min="9" max="9" width="10.42578125" customWidth="1"/>
    <col min="10" max="10" width="14.7109375" customWidth="1"/>
    <col min="18" max="18" width="4.5703125" style="21" customWidth="1"/>
    <col min="19" max="19" width="9.140625" style="30"/>
    <col min="20" max="20" width="8.7109375" style="30" customWidth="1"/>
  </cols>
  <sheetData>
    <row r="1" spans="2:20" x14ac:dyDescent="0.2">
      <c r="S1"/>
      <c r="T1"/>
    </row>
    <row r="2" spans="2:20" ht="36" x14ac:dyDescent="0.55000000000000004">
      <c r="B2" s="22" t="s">
        <v>158</v>
      </c>
      <c r="S2"/>
      <c r="T2"/>
    </row>
    <row r="3" spans="2:20" ht="13.5" thickBot="1" x14ac:dyDescent="0.25">
      <c r="S3"/>
      <c r="T3"/>
    </row>
    <row r="4" spans="2:20" ht="13.5" thickBot="1" x14ac:dyDescent="0.25">
      <c r="B4" s="2" t="s">
        <v>0</v>
      </c>
      <c r="C4" s="3" t="s">
        <v>1</v>
      </c>
      <c r="D4" s="181" t="s">
        <v>38</v>
      </c>
      <c r="E4" s="182"/>
      <c r="F4" s="182"/>
      <c r="G4" s="182"/>
      <c r="H4" s="182"/>
      <c r="I4" s="182"/>
      <c r="J4" s="182"/>
      <c r="K4" s="182"/>
      <c r="L4" s="182"/>
      <c r="M4" s="182"/>
      <c r="N4" s="182"/>
      <c r="O4" s="183"/>
      <c r="S4"/>
      <c r="T4"/>
    </row>
    <row r="5" spans="2:20" ht="115.5" customHeight="1" thickBot="1" x14ac:dyDescent="0.25">
      <c r="B5" s="11">
        <v>1</v>
      </c>
      <c r="C5" s="4" t="s">
        <v>2</v>
      </c>
      <c r="D5" s="178" t="s">
        <v>281</v>
      </c>
      <c r="E5" s="170"/>
      <c r="F5" s="170"/>
      <c r="G5" s="170"/>
      <c r="H5" s="170"/>
      <c r="I5" s="170"/>
      <c r="J5" s="170"/>
      <c r="K5" s="170"/>
      <c r="L5" s="170"/>
      <c r="M5" s="170"/>
      <c r="N5" s="170"/>
      <c r="O5" s="171"/>
      <c r="S5"/>
      <c r="T5"/>
    </row>
    <row r="6" spans="2:20" ht="13.5" thickBot="1" x14ac:dyDescent="0.25">
      <c r="B6" s="11">
        <v>2</v>
      </c>
      <c r="C6" s="4" t="s">
        <v>43</v>
      </c>
      <c r="D6" s="178" t="s">
        <v>21</v>
      </c>
      <c r="E6" s="170"/>
      <c r="F6" s="170"/>
      <c r="G6" s="170"/>
      <c r="H6" s="170"/>
      <c r="I6" s="170"/>
      <c r="J6" s="170"/>
      <c r="K6" s="170"/>
      <c r="L6" s="170"/>
      <c r="M6" s="170"/>
      <c r="N6" s="170"/>
      <c r="O6" s="171"/>
      <c r="S6"/>
      <c r="T6"/>
    </row>
    <row r="7" spans="2:20" ht="13.5" thickBot="1" x14ac:dyDescent="0.25">
      <c r="B7" s="11">
        <v>3</v>
      </c>
      <c r="C7" s="4" t="s">
        <v>44</v>
      </c>
      <c r="D7" s="178" t="s">
        <v>94</v>
      </c>
      <c r="E7" s="170"/>
      <c r="F7" s="170"/>
      <c r="G7" s="170"/>
      <c r="H7" s="170"/>
      <c r="I7" s="170"/>
      <c r="J7" s="170"/>
      <c r="K7" s="170"/>
      <c r="L7" s="170"/>
      <c r="M7" s="170"/>
      <c r="N7" s="170"/>
      <c r="O7" s="171"/>
      <c r="S7"/>
      <c r="T7"/>
    </row>
    <row r="8" spans="2:20" ht="54.75" customHeight="1" thickBot="1" x14ac:dyDescent="0.25">
      <c r="B8" s="11">
        <v>4</v>
      </c>
      <c r="C8" s="4" t="s">
        <v>3</v>
      </c>
      <c r="D8" s="178" t="s">
        <v>288</v>
      </c>
      <c r="E8" s="170"/>
      <c r="F8" s="170"/>
      <c r="G8" s="170"/>
      <c r="H8" s="170"/>
      <c r="I8" s="170"/>
      <c r="J8" s="170"/>
      <c r="K8" s="170"/>
      <c r="L8" s="170"/>
      <c r="M8" s="170"/>
      <c r="N8" s="170"/>
      <c r="O8" s="171"/>
      <c r="S8"/>
      <c r="T8"/>
    </row>
    <row r="9" spans="2:20" ht="13.5" thickBot="1" x14ac:dyDescent="0.25">
      <c r="B9" s="17">
        <v>5</v>
      </c>
      <c r="C9" s="20" t="s">
        <v>5</v>
      </c>
      <c r="D9" s="178" t="s">
        <v>276</v>
      </c>
      <c r="E9" s="170"/>
      <c r="F9" s="170"/>
      <c r="G9" s="170"/>
      <c r="H9" s="170"/>
      <c r="I9" s="170"/>
      <c r="J9" s="170"/>
      <c r="K9" s="170"/>
      <c r="L9" s="170"/>
      <c r="M9" s="170"/>
      <c r="N9" s="170"/>
      <c r="O9" s="171"/>
      <c r="S9"/>
      <c r="T9"/>
    </row>
    <row r="10" spans="2:20" ht="13.5" thickBot="1" x14ac:dyDescent="0.25">
      <c r="B10" s="17">
        <v>6</v>
      </c>
      <c r="C10" s="20" t="s">
        <v>95</v>
      </c>
      <c r="D10" s="166" t="s">
        <v>109</v>
      </c>
      <c r="E10" s="167"/>
      <c r="F10" s="167"/>
      <c r="G10" s="167"/>
      <c r="H10" s="167"/>
      <c r="I10" s="167"/>
      <c r="J10" s="167"/>
      <c r="K10" s="167"/>
      <c r="L10" s="167"/>
      <c r="M10" s="167"/>
      <c r="N10" s="167"/>
      <c r="O10" s="168"/>
      <c r="S10"/>
      <c r="T10"/>
    </row>
    <row r="11" spans="2:20" ht="13.5" thickBot="1" x14ac:dyDescent="0.25">
      <c r="B11" s="17">
        <v>7</v>
      </c>
      <c r="C11" s="20" t="s">
        <v>96</v>
      </c>
      <c r="D11" s="169">
        <v>40909</v>
      </c>
      <c r="E11" s="170"/>
      <c r="F11" s="170"/>
      <c r="G11" s="170"/>
      <c r="H11" s="170"/>
      <c r="I11" s="170"/>
      <c r="J11" s="170"/>
      <c r="K11" s="170"/>
      <c r="L11" s="170"/>
      <c r="M11" s="170"/>
      <c r="N11" s="170"/>
      <c r="O11" s="171"/>
      <c r="S11"/>
      <c r="T11"/>
    </row>
    <row r="12" spans="2:20" ht="13.5" thickBot="1" x14ac:dyDescent="0.25">
      <c r="B12" s="17">
        <v>8</v>
      </c>
      <c r="C12" s="20" t="s">
        <v>97</v>
      </c>
      <c r="D12" s="169">
        <v>41639</v>
      </c>
      <c r="E12" s="170"/>
      <c r="F12" s="170"/>
      <c r="G12" s="170"/>
      <c r="H12" s="170"/>
      <c r="I12" s="170"/>
      <c r="J12" s="170"/>
      <c r="K12" s="170"/>
      <c r="L12" s="170"/>
      <c r="M12" s="170"/>
      <c r="N12" s="170"/>
      <c r="O12" s="171"/>
      <c r="S12"/>
      <c r="T12"/>
    </row>
    <row r="13" spans="2:20" ht="13.5" thickBot="1" x14ac:dyDescent="0.25">
      <c r="B13" s="13"/>
      <c r="C13" s="12"/>
      <c r="D13" s="25"/>
      <c r="E13" s="25"/>
      <c r="F13" s="25"/>
      <c r="G13" s="25"/>
      <c r="H13" s="25"/>
      <c r="I13" s="25"/>
      <c r="J13" s="25"/>
      <c r="K13" s="25"/>
      <c r="L13" s="25"/>
      <c r="M13" s="25"/>
      <c r="N13" s="25"/>
      <c r="O13" s="25"/>
      <c r="S13"/>
      <c r="T13"/>
    </row>
    <row r="14" spans="2:20" ht="13.5" thickBot="1" x14ac:dyDescent="0.25">
      <c r="B14" s="2" t="s">
        <v>0</v>
      </c>
      <c r="C14" s="3" t="s">
        <v>1</v>
      </c>
      <c r="D14" s="14" t="s">
        <v>27</v>
      </c>
      <c r="E14" s="14" t="s">
        <v>28</v>
      </c>
      <c r="F14" s="18" t="s">
        <v>17</v>
      </c>
      <c r="G14" s="19"/>
      <c r="H14" s="19"/>
      <c r="I14" s="19"/>
      <c r="J14" s="19"/>
      <c r="K14" s="19"/>
      <c r="L14" s="19"/>
      <c r="M14" s="19"/>
      <c r="N14" s="19"/>
      <c r="O14" s="19"/>
      <c r="P14" s="19"/>
      <c r="Q14" s="3"/>
      <c r="S14"/>
      <c r="T14"/>
    </row>
    <row r="15" spans="2:20" ht="63.75" customHeight="1" thickBot="1" x14ac:dyDescent="0.25">
      <c r="B15" s="17">
        <v>9</v>
      </c>
      <c r="C15" s="4" t="s">
        <v>6</v>
      </c>
      <c r="D15" s="84">
        <v>6.8</v>
      </c>
      <c r="E15" s="5" t="s">
        <v>29</v>
      </c>
      <c r="F15" s="172" t="s">
        <v>277</v>
      </c>
      <c r="G15" s="173"/>
      <c r="H15" s="173"/>
      <c r="I15" s="173"/>
      <c r="J15" s="173"/>
      <c r="K15" s="173"/>
      <c r="L15" s="173"/>
      <c r="M15" s="173"/>
      <c r="N15" s="173"/>
      <c r="O15" s="173"/>
      <c r="P15" s="173"/>
      <c r="Q15" s="174"/>
      <c r="S15"/>
      <c r="T15"/>
    </row>
    <row r="16" spans="2:20" ht="13.5" thickBot="1" x14ac:dyDescent="0.25">
      <c r="B16" s="6">
        <v>10</v>
      </c>
      <c r="C16" s="7" t="s">
        <v>8</v>
      </c>
      <c r="D16" s="5">
        <v>100</v>
      </c>
      <c r="E16" s="5" t="s">
        <v>26</v>
      </c>
      <c r="F16" s="175"/>
      <c r="G16" s="176"/>
      <c r="H16" s="176"/>
      <c r="I16" s="176"/>
      <c r="J16" s="176"/>
      <c r="K16" s="176"/>
      <c r="L16" s="176"/>
      <c r="M16" s="176"/>
      <c r="N16" s="176"/>
      <c r="O16" s="176"/>
      <c r="P16" s="176"/>
      <c r="Q16" s="177"/>
      <c r="S16"/>
      <c r="T16"/>
    </row>
    <row r="17" spans="2:20" ht="48.75" customHeight="1" thickBot="1" x14ac:dyDescent="0.25">
      <c r="B17" s="17">
        <v>11</v>
      </c>
      <c r="C17" s="20" t="s">
        <v>110</v>
      </c>
      <c r="D17" s="76">
        <f>2.57*365</f>
        <v>938.05</v>
      </c>
      <c r="E17" s="5" t="s">
        <v>22</v>
      </c>
      <c r="F17" s="172" t="s">
        <v>289</v>
      </c>
      <c r="G17" s="176"/>
      <c r="H17" s="176"/>
      <c r="I17" s="176"/>
      <c r="J17" s="176"/>
      <c r="K17" s="176"/>
      <c r="L17" s="176"/>
      <c r="M17" s="176"/>
      <c r="N17" s="176"/>
      <c r="O17" s="176"/>
      <c r="P17" s="176"/>
      <c r="Q17" s="177"/>
      <c r="S17"/>
      <c r="T17"/>
    </row>
    <row r="18" spans="2:20" ht="13.5" thickBot="1" x14ac:dyDescent="0.25">
      <c r="B18" s="6">
        <v>12</v>
      </c>
      <c r="C18" s="7" t="s">
        <v>7</v>
      </c>
      <c r="D18" s="5" t="s">
        <v>219</v>
      </c>
      <c r="E18" s="5"/>
      <c r="F18" s="175"/>
      <c r="G18" s="176"/>
      <c r="H18" s="176"/>
      <c r="I18" s="176"/>
      <c r="J18" s="176"/>
      <c r="K18" s="176"/>
      <c r="L18" s="176"/>
      <c r="M18" s="176"/>
      <c r="N18" s="176"/>
      <c r="O18" s="176"/>
      <c r="P18" s="176"/>
      <c r="Q18" s="177"/>
      <c r="S18"/>
      <c r="T18"/>
    </row>
    <row r="19" spans="2:20" ht="13.5" thickBot="1" x14ac:dyDescent="0.25">
      <c r="B19" s="6" t="s">
        <v>98</v>
      </c>
      <c r="C19" s="7" t="s">
        <v>9</v>
      </c>
      <c r="D19" s="5"/>
      <c r="E19" s="5"/>
      <c r="F19" s="175"/>
      <c r="G19" s="176"/>
      <c r="H19" s="176"/>
      <c r="I19" s="176"/>
      <c r="J19" s="176"/>
      <c r="K19" s="176"/>
      <c r="L19" s="176"/>
      <c r="M19" s="176"/>
      <c r="N19" s="176"/>
      <c r="O19" s="176"/>
      <c r="P19" s="176"/>
      <c r="Q19" s="177"/>
      <c r="S19"/>
      <c r="T19"/>
    </row>
    <row r="20" spans="2:20" ht="13.5" thickBot="1" x14ac:dyDescent="0.25">
      <c r="B20" s="6" t="s">
        <v>99</v>
      </c>
      <c r="C20" s="26" t="s">
        <v>41</v>
      </c>
      <c r="D20" s="5"/>
      <c r="E20" s="5"/>
      <c r="F20" s="209"/>
      <c r="G20" s="210"/>
      <c r="H20" s="210"/>
      <c r="I20" s="210"/>
      <c r="J20" s="210"/>
      <c r="K20" s="210"/>
      <c r="L20" s="210"/>
      <c r="M20" s="210"/>
      <c r="N20" s="210"/>
      <c r="O20" s="210"/>
      <c r="P20" s="210"/>
      <c r="Q20" s="211"/>
      <c r="R20"/>
      <c r="S20"/>
      <c r="T20"/>
    </row>
    <row r="21" spans="2:20" ht="13.5" thickBot="1" x14ac:dyDescent="0.25">
      <c r="B21" s="6" t="s">
        <v>100</v>
      </c>
      <c r="C21" s="26" t="s">
        <v>42</v>
      </c>
      <c r="D21" s="5"/>
      <c r="E21" s="5"/>
      <c r="F21" s="209"/>
      <c r="G21" s="210"/>
      <c r="H21" s="210"/>
      <c r="I21" s="210"/>
      <c r="J21" s="210"/>
      <c r="K21" s="210"/>
      <c r="L21" s="210"/>
      <c r="M21" s="210"/>
      <c r="N21" s="210"/>
      <c r="O21" s="210"/>
      <c r="P21" s="210"/>
      <c r="Q21" s="211"/>
      <c r="R21"/>
      <c r="S21"/>
      <c r="T21"/>
    </row>
    <row r="22" spans="2:20" ht="13.5" thickBot="1" x14ac:dyDescent="0.25">
      <c r="B22" s="6">
        <v>14</v>
      </c>
      <c r="C22" s="7" t="s">
        <v>35</v>
      </c>
      <c r="D22" s="5"/>
      <c r="E22" s="5"/>
      <c r="F22" s="175"/>
      <c r="G22" s="176"/>
      <c r="H22" s="176"/>
      <c r="I22" s="176"/>
      <c r="J22" s="176"/>
      <c r="K22" s="176"/>
      <c r="L22" s="176"/>
      <c r="M22" s="176"/>
      <c r="N22" s="176"/>
      <c r="O22" s="176"/>
      <c r="P22" s="176"/>
      <c r="Q22" s="177"/>
      <c r="R22"/>
      <c r="S22"/>
      <c r="T22"/>
    </row>
    <row r="23" spans="2:20" ht="13.5" thickBot="1" x14ac:dyDescent="0.25">
      <c r="B23" s="8"/>
      <c r="C23" s="206" t="s">
        <v>10</v>
      </c>
      <c r="D23" s="207"/>
      <c r="E23" s="207"/>
      <c r="F23" s="207"/>
      <c r="G23" s="207"/>
      <c r="H23" s="207"/>
      <c r="I23" s="207"/>
      <c r="J23" s="207"/>
      <c r="K23" s="207"/>
      <c r="L23" s="207"/>
      <c r="M23" s="207"/>
      <c r="N23" s="207"/>
      <c r="O23" s="207"/>
      <c r="P23" s="207"/>
      <c r="Q23" s="208"/>
      <c r="R23"/>
      <c r="S23"/>
      <c r="T23"/>
    </row>
    <row r="24" spans="2:20" ht="26.25" thickBot="1" x14ac:dyDescent="0.25">
      <c r="B24" s="11">
        <v>15</v>
      </c>
      <c r="C24" s="4" t="s">
        <v>36</v>
      </c>
      <c r="D24" s="55">
        <v>5</v>
      </c>
      <c r="E24" s="5" t="s">
        <v>31</v>
      </c>
      <c r="F24" s="172" t="s">
        <v>292</v>
      </c>
      <c r="G24" s="173"/>
      <c r="H24" s="173"/>
      <c r="I24" s="173"/>
      <c r="J24" s="173"/>
      <c r="K24" s="173"/>
      <c r="L24" s="173"/>
      <c r="M24" s="173"/>
      <c r="N24" s="173"/>
      <c r="O24" s="173"/>
      <c r="P24" s="173"/>
      <c r="Q24" s="174"/>
      <c r="R24"/>
      <c r="S24"/>
      <c r="T24"/>
    </row>
    <row r="25" spans="2:20" ht="13.5" thickBot="1" x14ac:dyDescent="0.25">
      <c r="B25" s="11">
        <v>16</v>
      </c>
      <c r="C25" s="4" t="s">
        <v>37</v>
      </c>
      <c r="D25" s="55" t="s">
        <v>200</v>
      </c>
      <c r="E25" s="5" t="s">
        <v>31</v>
      </c>
      <c r="F25" s="175"/>
      <c r="G25" s="176"/>
      <c r="H25" s="176"/>
      <c r="I25" s="176"/>
      <c r="J25" s="176"/>
      <c r="K25" s="176"/>
      <c r="L25" s="176"/>
      <c r="M25" s="176"/>
      <c r="N25" s="176"/>
      <c r="O25" s="176"/>
      <c r="P25" s="176"/>
      <c r="Q25" s="177"/>
      <c r="R25"/>
      <c r="S25"/>
      <c r="T25"/>
    </row>
    <row r="26" spans="2:20" ht="13.5" thickBot="1" x14ac:dyDescent="0.25">
      <c r="B26" s="11" t="s">
        <v>101</v>
      </c>
      <c r="C26" s="4" t="s">
        <v>45</v>
      </c>
      <c r="D26" s="32">
        <f>1000/938</f>
        <v>1.0660980810234542</v>
      </c>
      <c r="E26" s="5" t="s">
        <v>29</v>
      </c>
      <c r="F26" s="175" t="s">
        <v>290</v>
      </c>
      <c r="G26" s="176"/>
      <c r="H26" s="176"/>
      <c r="I26" s="176"/>
      <c r="J26" s="176"/>
      <c r="K26" s="176"/>
      <c r="L26" s="176"/>
      <c r="M26" s="176"/>
      <c r="N26" s="176"/>
      <c r="O26" s="176"/>
      <c r="P26" s="176"/>
      <c r="Q26" s="177"/>
      <c r="R26"/>
      <c r="S26"/>
      <c r="T26"/>
    </row>
    <row r="27" spans="2:20" ht="21" customHeight="1" thickBot="1" x14ac:dyDescent="0.25">
      <c r="B27" s="11" t="s">
        <v>102</v>
      </c>
      <c r="C27" s="4" t="s">
        <v>46</v>
      </c>
      <c r="D27" s="5">
        <v>3.5</v>
      </c>
      <c r="E27" s="5" t="s">
        <v>31</v>
      </c>
      <c r="F27" s="172" t="s">
        <v>291</v>
      </c>
      <c r="G27" s="173"/>
      <c r="H27" s="173"/>
      <c r="I27" s="173"/>
      <c r="J27" s="173"/>
      <c r="K27" s="173"/>
      <c r="L27" s="173"/>
      <c r="M27" s="173"/>
      <c r="N27" s="173"/>
      <c r="O27" s="173"/>
      <c r="P27" s="173"/>
      <c r="Q27" s="174"/>
      <c r="R27"/>
      <c r="S27"/>
      <c r="T27"/>
    </row>
    <row r="28" spans="2:20" ht="13.5" thickBot="1" x14ac:dyDescent="0.25">
      <c r="B28" s="11" t="s">
        <v>103</v>
      </c>
      <c r="C28" s="4" t="s">
        <v>47</v>
      </c>
      <c r="D28" s="5"/>
      <c r="E28" s="5" t="s">
        <v>29</v>
      </c>
      <c r="F28" s="175"/>
      <c r="G28" s="176"/>
      <c r="H28" s="176"/>
      <c r="I28" s="176"/>
      <c r="J28" s="176"/>
      <c r="K28" s="176"/>
      <c r="L28" s="176"/>
      <c r="M28" s="176"/>
      <c r="N28" s="176"/>
      <c r="O28" s="176"/>
      <c r="P28" s="176"/>
      <c r="Q28" s="177"/>
      <c r="R28"/>
      <c r="S28"/>
      <c r="T28"/>
    </row>
    <row r="29" spans="2:20" ht="13.5" thickBot="1" x14ac:dyDescent="0.25">
      <c r="B29" s="11" t="s">
        <v>104</v>
      </c>
      <c r="C29" s="4" t="s">
        <v>48</v>
      </c>
      <c r="D29" s="5"/>
      <c r="E29" s="5" t="s">
        <v>31</v>
      </c>
      <c r="F29" s="175"/>
      <c r="G29" s="176"/>
      <c r="H29" s="176"/>
      <c r="I29" s="176"/>
      <c r="J29" s="176"/>
      <c r="K29" s="176"/>
      <c r="L29" s="176"/>
      <c r="M29" s="176"/>
      <c r="N29" s="176"/>
      <c r="O29" s="176"/>
      <c r="P29" s="176"/>
      <c r="Q29" s="177"/>
      <c r="R29"/>
      <c r="S29"/>
      <c r="T29"/>
    </row>
    <row r="30" spans="2:20" ht="13.5" thickBot="1" x14ac:dyDescent="0.25">
      <c r="B30" s="11" t="s">
        <v>105</v>
      </c>
      <c r="C30" s="4" t="s">
        <v>49</v>
      </c>
      <c r="D30" s="5"/>
      <c r="E30" s="5" t="s">
        <v>29</v>
      </c>
      <c r="F30" s="175"/>
      <c r="G30" s="176"/>
      <c r="H30" s="176"/>
      <c r="I30" s="176"/>
      <c r="J30" s="176"/>
      <c r="K30" s="176"/>
      <c r="L30" s="176"/>
      <c r="M30" s="176"/>
      <c r="N30" s="176"/>
      <c r="O30" s="176"/>
      <c r="P30" s="176"/>
      <c r="Q30" s="177"/>
      <c r="R30"/>
      <c r="S30"/>
      <c r="T30"/>
    </row>
    <row r="31" spans="2:20" ht="13.5" thickBot="1" x14ac:dyDescent="0.25">
      <c r="B31" s="11" t="s">
        <v>106</v>
      </c>
      <c r="C31" s="4" t="s">
        <v>50</v>
      </c>
      <c r="D31" s="5"/>
      <c r="E31" s="5" t="s">
        <v>31</v>
      </c>
      <c r="F31" s="175"/>
      <c r="G31" s="176"/>
      <c r="H31" s="176"/>
      <c r="I31" s="176"/>
      <c r="J31" s="176"/>
      <c r="K31" s="176"/>
      <c r="L31" s="176"/>
      <c r="M31" s="176"/>
      <c r="N31" s="176"/>
      <c r="O31" s="176"/>
      <c r="P31" s="176"/>
      <c r="Q31" s="177"/>
      <c r="R31"/>
      <c r="S31"/>
      <c r="T31"/>
    </row>
    <row r="32" spans="2:20" ht="13.5" thickBot="1" x14ac:dyDescent="0.25">
      <c r="B32" s="11" t="s">
        <v>107</v>
      </c>
      <c r="C32" s="4" t="s">
        <v>51</v>
      </c>
      <c r="D32" s="5"/>
      <c r="E32" s="5" t="s">
        <v>29</v>
      </c>
      <c r="F32" s="175"/>
      <c r="G32" s="176"/>
      <c r="H32" s="176"/>
      <c r="I32" s="176"/>
      <c r="J32" s="176"/>
      <c r="K32" s="176"/>
      <c r="L32" s="176"/>
      <c r="M32" s="176"/>
      <c r="N32" s="176"/>
      <c r="O32" s="176"/>
      <c r="P32" s="176"/>
      <c r="Q32" s="177"/>
      <c r="R32"/>
      <c r="S32"/>
      <c r="T32"/>
    </row>
    <row r="33" spans="2:21" ht="13.5" thickBot="1" x14ac:dyDescent="0.25">
      <c r="B33" s="11" t="s">
        <v>108</v>
      </c>
      <c r="C33" s="4" t="s">
        <v>52</v>
      </c>
      <c r="D33" s="5"/>
      <c r="E33" s="5" t="s">
        <v>31</v>
      </c>
      <c r="F33" s="175"/>
      <c r="G33" s="176"/>
      <c r="H33" s="176"/>
      <c r="I33" s="176"/>
      <c r="J33" s="176"/>
      <c r="K33" s="176"/>
      <c r="L33" s="176"/>
      <c r="M33" s="176"/>
      <c r="N33" s="176"/>
      <c r="O33" s="176"/>
      <c r="P33" s="176"/>
      <c r="Q33" s="177"/>
      <c r="R33"/>
      <c r="S33"/>
      <c r="T33"/>
    </row>
    <row r="34" spans="2:21" ht="13.5" thickBot="1" x14ac:dyDescent="0.25">
      <c r="B34" s="11">
        <v>18</v>
      </c>
      <c r="C34" s="4" t="s">
        <v>11</v>
      </c>
      <c r="D34" s="5"/>
      <c r="E34" s="5" t="s">
        <v>31</v>
      </c>
      <c r="F34" s="175"/>
      <c r="G34" s="176"/>
      <c r="H34" s="176"/>
      <c r="I34" s="176"/>
      <c r="J34" s="176"/>
      <c r="K34" s="176"/>
      <c r="L34" s="176"/>
      <c r="M34" s="176"/>
      <c r="N34" s="176"/>
      <c r="O34" s="176"/>
      <c r="P34" s="176"/>
      <c r="Q34" s="177"/>
      <c r="R34"/>
      <c r="S34"/>
      <c r="T34"/>
    </row>
    <row r="35" spans="2:21" ht="13.5" thickBot="1" x14ac:dyDescent="0.25">
      <c r="B35" s="9"/>
      <c r="C35" s="203" t="s">
        <v>12</v>
      </c>
      <c r="D35" s="204"/>
      <c r="E35" s="204"/>
      <c r="F35" s="204"/>
      <c r="G35" s="204"/>
      <c r="H35" s="204"/>
      <c r="I35" s="204"/>
      <c r="J35" s="204"/>
      <c r="K35" s="204"/>
      <c r="L35" s="204"/>
      <c r="M35" s="204"/>
      <c r="N35" s="204"/>
      <c r="O35" s="204"/>
      <c r="P35" s="204"/>
      <c r="Q35" s="205"/>
      <c r="R35"/>
      <c r="S35"/>
      <c r="T35"/>
    </row>
    <row r="36" spans="2:21" ht="33" customHeight="1" thickBot="1" x14ac:dyDescent="0.25">
      <c r="B36" s="11">
        <v>19</v>
      </c>
      <c r="C36" s="4" t="s">
        <v>13</v>
      </c>
      <c r="D36" s="55" t="s">
        <v>200</v>
      </c>
      <c r="E36" s="5" t="s">
        <v>29</v>
      </c>
      <c r="F36" s="175"/>
      <c r="G36" s="176"/>
      <c r="H36" s="176"/>
      <c r="I36" s="176"/>
      <c r="J36" s="176"/>
      <c r="K36" s="176"/>
      <c r="L36" s="176"/>
      <c r="M36" s="176"/>
      <c r="N36" s="176"/>
      <c r="O36" s="176"/>
      <c r="P36" s="176"/>
      <c r="Q36" s="177"/>
    </row>
    <row r="37" spans="2:21" ht="13.5" thickBot="1" x14ac:dyDescent="0.25">
      <c r="B37" s="11">
        <v>20</v>
      </c>
      <c r="C37" s="4" t="s">
        <v>53</v>
      </c>
      <c r="D37" s="55" t="s">
        <v>200</v>
      </c>
      <c r="E37" s="5" t="s">
        <v>31</v>
      </c>
      <c r="F37" s="175"/>
      <c r="G37" s="176"/>
      <c r="H37" s="176"/>
      <c r="I37" s="176"/>
      <c r="J37" s="176"/>
      <c r="K37" s="176"/>
      <c r="L37" s="176"/>
      <c r="M37" s="176"/>
      <c r="N37" s="176"/>
      <c r="O37" s="176"/>
      <c r="P37" s="176"/>
      <c r="Q37" s="177"/>
    </row>
    <row r="38" spans="2:21" ht="13.5" thickBot="1" x14ac:dyDescent="0.25">
      <c r="B38" s="11">
        <v>21</v>
      </c>
      <c r="C38" s="4" t="s">
        <v>14</v>
      </c>
      <c r="D38" s="101" t="s">
        <v>200</v>
      </c>
      <c r="E38" s="5" t="s">
        <v>26</v>
      </c>
      <c r="F38" s="175"/>
      <c r="G38" s="176"/>
      <c r="H38" s="176"/>
      <c r="I38" s="176"/>
      <c r="J38" s="176"/>
      <c r="K38" s="176"/>
      <c r="L38" s="176"/>
      <c r="M38" s="176"/>
      <c r="N38" s="176"/>
      <c r="O38" s="176"/>
      <c r="P38" s="176"/>
      <c r="Q38" s="177"/>
    </row>
    <row r="39" spans="2:21" ht="13.5" thickBot="1" x14ac:dyDescent="0.25">
      <c r="B39" s="13"/>
      <c r="C39" s="12"/>
      <c r="D39" s="25"/>
      <c r="E39" s="25"/>
      <c r="F39" s="25"/>
      <c r="G39" s="25"/>
      <c r="H39" s="25"/>
      <c r="I39" s="25"/>
      <c r="J39" s="25"/>
      <c r="K39" s="25"/>
      <c r="L39" s="25"/>
      <c r="M39" s="25"/>
      <c r="N39" s="25"/>
      <c r="O39" s="25"/>
    </row>
    <row r="40" spans="2:21" ht="26.25" thickBot="1" x14ac:dyDescent="0.25">
      <c r="B40" s="2" t="s">
        <v>0</v>
      </c>
      <c r="C40" s="181" t="s">
        <v>4</v>
      </c>
      <c r="D40" s="182"/>
      <c r="E40" s="182"/>
      <c r="F40" s="182"/>
      <c r="G40" s="182"/>
      <c r="H40" s="182"/>
      <c r="I40" s="182"/>
      <c r="J40" s="182"/>
      <c r="K40" s="182"/>
      <c r="L40" s="182"/>
      <c r="M40" s="182"/>
      <c r="N40" s="23" t="s">
        <v>20</v>
      </c>
      <c r="O40" s="23" t="s">
        <v>39</v>
      </c>
      <c r="P40" s="182" t="s">
        <v>40</v>
      </c>
      <c r="Q40" s="183"/>
    </row>
    <row r="41" spans="2:21" ht="13.5" thickBot="1" x14ac:dyDescent="0.25">
      <c r="B41" s="11">
        <v>22</v>
      </c>
      <c r="C41" s="10" t="s">
        <v>34</v>
      </c>
      <c r="D41" s="184" t="s">
        <v>212</v>
      </c>
      <c r="E41" s="185"/>
      <c r="F41" s="185"/>
      <c r="G41" s="185"/>
      <c r="H41" s="185"/>
      <c r="I41" s="185"/>
      <c r="J41" s="185"/>
      <c r="K41" s="185"/>
      <c r="L41" s="185"/>
      <c r="M41" s="185"/>
      <c r="N41" s="28">
        <f>((H47-H48)/1000)*H49*H50*H51</f>
        <v>4.9141124999999997E-3</v>
      </c>
      <c r="O41" s="29" t="s">
        <v>33</v>
      </c>
      <c r="P41" s="186" t="str">
        <f>IF(COUNTIF(F47:F56,"=C")+COUNTIF(F47:F56,"=L")&gt;=1,"Example","Deemed")</f>
        <v>Example</v>
      </c>
      <c r="Q41" s="187"/>
    </row>
    <row r="42" spans="2:21" ht="13.5" thickBot="1" x14ac:dyDescent="0.25">
      <c r="B42" s="11">
        <v>23</v>
      </c>
      <c r="C42" s="10" t="s">
        <v>18</v>
      </c>
      <c r="D42" s="190" t="s">
        <v>213</v>
      </c>
      <c r="E42" s="191"/>
      <c r="F42" s="191"/>
      <c r="G42" s="191"/>
      <c r="H42" s="191"/>
      <c r="I42" s="191"/>
      <c r="J42" s="191"/>
      <c r="K42" s="191"/>
      <c r="L42" s="191"/>
      <c r="M42" s="191"/>
      <c r="N42" s="99">
        <f>((H47-H48)/1000)*H49*H50*H52*(H53/H50)</f>
        <v>42.507735749999995</v>
      </c>
      <c r="O42" s="24" t="s">
        <v>25</v>
      </c>
      <c r="P42" s="186"/>
      <c r="Q42" s="187"/>
    </row>
    <row r="43" spans="2:21" ht="13.5" thickBot="1" x14ac:dyDescent="0.25">
      <c r="B43" s="11">
        <v>24</v>
      </c>
      <c r="C43" s="10" t="s">
        <v>90</v>
      </c>
      <c r="D43" s="190" t="s">
        <v>273</v>
      </c>
      <c r="E43" s="191"/>
      <c r="F43" s="191"/>
      <c r="G43" s="191"/>
      <c r="H43" s="191"/>
      <c r="I43" s="191"/>
      <c r="J43" s="191"/>
      <c r="K43" s="191"/>
      <c r="L43" s="191"/>
      <c r="M43" s="191"/>
      <c r="N43" s="92">
        <f>-(((H47-H48)/1000)*H49*H52*H54*H55)/H56</f>
        <v>-9.5806822151249985E-2</v>
      </c>
      <c r="O43" s="24" t="s">
        <v>32</v>
      </c>
      <c r="P43" s="186"/>
      <c r="Q43" s="187"/>
      <c r="R43" s="30"/>
      <c r="T43"/>
    </row>
    <row r="44" spans="2:21" ht="13.5" thickBot="1" x14ac:dyDescent="0.25">
      <c r="B44" s="11">
        <v>25</v>
      </c>
      <c r="C44" s="10" t="s">
        <v>19</v>
      </c>
      <c r="D44" s="190" t="s">
        <v>200</v>
      </c>
      <c r="E44" s="191"/>
      <c r="F44" s="191"/>
      <c r="G44" s="191"/>
      <c r="H44" s="191"/>
      <c r="I44" s="191"/>
      <c r="J44" s="191"/>
      <c r="K44" s="191"/>
      <c r="L44" s="191"/>
      <c r="M44" s="191"/>
      <c r="N44" s="24"/>
      <c r="O44" s="24" t="s">
        <v>89</v>
      </c>
      <c r="P44" s="188"/>
      <c r="Q44" s="189"/>
      <c r="R44" s="30"/>
      <c r="T44"/>
    </row>
    <row r="45" spans="2:21" ht="22.5" customHeight="1" x14ac:dyDescent="0.2">
      <c r="B45" s="192" t="s">
        <v>23</v>
      </c>
      <c r="C45" s="193"/>
      <c r="D45" s="192" t="s">
        <v>24</v>
      </c>
      <c r="E45" s="193"/>
      <c r="F45" s="179" t="s">
        <v>88</v>
      </c>
      <c r="G45" s="179" t="s">
        <v>87</v>
      </c>
      <c r="H45" s="179" t="s">
        <v>15</v>
      </c>
      <c r="I45" s="179" t="s">
        <v>16</v>
      </c>
      <c r="J45" s="192" t="s">
        <v>17</v>
      </c>
      <c r="K45" s="199"/>
      <c r="L45" s="199"/>
      <c r="M45" s="199"/>
      <c r="N45" s="199"/>
      <c r="O45" s="199"/>
      <c r="P45" s="199"/>
      <c r="Q45" s="193"/>
      <c r="R45" s="30"/>
      <c r="S45" s="33" t="s">
        <v>115</v>
      </c>
      <c r="T45" s="33"/>
      <c r="U45" s="33"/>
    </row>
    <row r="46" spans="2:21" ht="22.5" customHeight="1" thickBot="1" x14ac:dyDescent="0.25">
      <c r="B46" s="194"/>
      <c r="C46" s="195"/>
      <c r="D46" s="196"/>
      <c r="E46" s="197"/>
      <c r="F46" s="198"/>
      <c r="G46" s="180"/>
      <c r="H46" s="180"/>
      <c r="I46" s="180"/>
      <c r="J46" s="194"/>
      <c r="K46" s="200"/>
      <c r="L46" s="200"/>
      <c r="M46" s="200"/>
      <c r="N46" s="200"/>
      <c r="O46" s="200"/>
      <c r="P46" s="200"/>
      <c r="Q46" s="195"/>
      <c r="R46" s="30"/>
      <c r="S46" s="1" t="s">
        <v>91</v>
      </c>
      <c r="T46" s="1" t="s">
        <v>93</v>
      </c>
      <c r="U46" s="1" t="s">
        <v>92</v>
      </c>
    </row>
    <row r="47" spans="2:21" ht="124.5" customHeight="1" thickBot="1" x14ac:dyDescent="0.25">
      <c r="B47" s="17" t="s">
        <v>54</v>
      </c>
      <c r="C47" s="10" t="s">
        <v>211</v>
      </c>
      <c r="D47" s="178" t="s">
        <v>203</v>
      </c>
      <c r="E47" s="171"/>
      <c r="F47" s="5" t="s">
        <v>86</v>
      </c>
      <c r="G47" s="123">
        <f>H48</f>
        <v>15</v>
      </c>
      <c r="H47" s="127">
        <f>VLOOKUP(G47,B150:C156,2,FALSE)</f>
        <v>60</v>
      </c>
      <c r="I47" s="5"/>
      <c r="J47" s="166" t="s">
        <v>308</v>
      </c>
      <c r="K47" s="167"/>
      <c r="L47" s="167"/>
      <c r="M47" s="167"/>
      <c r="N47" s="167"/>
      <c r="O47" s="167"/>
      <c r="P47" s="167"/>
      <c r="Q47" s="168"/>
      <c r="R47" s="127"/>
      <c r="S47" s="34">
        <v>4</v>
      </c>
      <c r="T47" s="34">
        <v>60</v>
      </c>
      <c r="U47" s="34">
        <v>150</v>
      </c>
    </row>
    <row r="48" spans="2:21" ht="133.5" customHeight="1" thickBot="1" x14ac:dyDescent="0.25">
      <c r="B48" s="17" t="s">
        <v>55</v>
      </c>
      <c r="C48" s="10" t="s">
        <v>159</v>
      </c>
      <c r="D48" s="178" t="s">
        <v>204</v>
      </c>
      <c r="E48" s="171"/>
      <c r="F48" s="5" t="s">
        <v>113</v>
      </c>
      <c r="G48" s="27"/>
      <c r="H48" s="127">
        <v>15</v>
      </c>
      <c r="I48" s="5"/>
      <c r="J48" s="166" t="s">
        <v>282</v>
      </c>
      <c r="K48" s="167"/>
      <c r="L48" s="167"/>
      <c r="M48" s="167"/>
      <c r="N48" s="167"/>
      <c r="O48" s="167"/>
      <c r="P48" s="167"/>
      <c r="Q48" s="168"/>
      <c r="R48" s="127"/>
      <c r="S48" s="34">
        <v>3</v>
      </c>
      <c r="T48" s="34">
        <v>15</v>
      </c>
      <c r="U48" s="34">
        <v>42</v>
      </c>
    </row>
    <row r="49" spans="2:21" ht="146.25" customHeight="1" thickBot="1" x14ac:dyDescent="0.25">
      <c r="B49" s="17" t="s">
        <v>56</v>
      </c>
      <c r="C49" s="10" t="s">
        <v>111</v>
      </c>
      <c r="D49" s="178" t="s">
        <v>205</v>
      </c>
      <c r="E49" s="171"/>
      <c r="F49" s="5" t="s">
        <v>85</v>
      </c>
      <c r="G49" s="27"/>
      <c r="H49" s="102">
        <v>0.95</v>
      </c>
      <c r="I49" s="5"/>
      <c r="J49" s="166" t="s">
        <v>283</v>
      </c>
      <c r="K49" s="167"/>
      <c r="L49" s="167"/>
      <c r="M49" s="167"/>
      <c r="N49" s="167"/>
      <c r="O49" s="167"/>
      <c r="P49" s="167"/>
      <c r="Q49" s="168"/>
      <c r="R49" s="102"/>
      <c r="S49" s="70">
        <v>0.75</v>
      </c>
      <c r="T49" s="70">
        <v>0.95</v>
      </c>
      <c r="U49" s="70">
        <v>1</v>
      </c>
    </row>
    <row r="50" spans="2:21" ht="160.5" customHeight="1" thickBot="1" x14ac:dyDescent="0.25">
      <c r="B50" s="17" t="s">
        <v>57</v>
      </c>
      <c r="C50" s="10" t="s">
        <v>201</v>
      </c>
      <c r="D50" s="178" t="s">
        <v>160</v>
      </c>
      <c r="E50" s="171"/>
      <c r="F50" s="5" t="s">
        <v>85</v>
      </c>
      <c r="G50" s="27"/>
      <c r="H50" s="32">
        <v>1.21</v>
      </c>
      <c r="I50" s="5"/>
      <c r="J50" s="166" t="s">
        <v>215</v>
      </c>
      <c r="K50" s="167"/>
      <c r="L50" s="167"/>
      <c r="M50" s="167"/>
      <c r="N50" s="167"/>
      <c r="O50" s="167"/>
      <c r="P50" s="167"/>
      <c r="Q50" s="168"/>
      <c r="R50" s="32"/>
      <c r="S50" s="34">
        <v>1</v>
      </c>
      <c r="T50" s="58">
        <f>H50</f>
        <v>1.21</v>
      </c>
      <c r="U50" s="34">
        <v>1.3</v>
      </c>
    </row>
    <row r="51" spans="2:21" ht="90.75" customHeight="1" thickBot="1" x14ac:dyDescent="0.25">
      <c r="B51" s="17" t="s">
        <v>58</v>
      </c>
      <c r="C51" s="10" t="s">
        <v>187</v>
      </c>
      <c r="D51" s="178" t="s">
        <v>206</v>
      </c>
      <c r="E51" s="171"/>
      <c r="F51" s="5" t="s">
        <v>86</v>
      </c>
      <c r="G51" s="27" t="s">
        <v>243</v>
      </c>
      <c r="H51" s="139">
        <f>VLOOKUP(G51,C83:I95,6,FALSE)</f>
        <v>9.5000000000000001E-2</v>
      </c>
      <c r="I51" s="5"/>
      <c r="J51" s="166" t="s">
        <v>259</v>
      </c>
      <c r="K51" s="167"/>
      <c r="L51" s="167"/>
      <c r="M51" s="167"/>
      <c r="N51" s="167"/>
      <c r="O51" s="167"/>
      <c r="P51" s="167"/>
      <c r="Q51" s="168"/>
      <c r="R51" s="139"/>
      <c r="S51" s="34">
        <v>7.1999999999999995E-2</v>
      </c>
      <c r="T51" s="34">
        <v>9.5000000000000001E-2</v>
      </c>
      <c r="U51" s="34">
        <v>0.184</v>
      </c>
    </row>
    <row r="52" spans="2:21" ht="80.25" customHeight="1" thickBot="1" x14ac:dyDescent="0.25">
      <c r="B52" s="17" t="s">
        <v>59</v>
      </c>
      <c r="C52" s="10" t="s">
        <v>207</v>
      </c>
      <c r="D52" s="178" t="s">
        <v>114</v>
      </c>
      <c r="E52" s="171"/>
      <c r="F52" s="5" t="s">
        <v>86</v>
      </c>
      <c r="G52" s="27" t="s">
        <v>243</v>
      </c>
      <c r="H52" s="129">
        <f>VLOOKUP(G52,C83:I95,3,FALSE)</f>
        <v>938.05</v>
      </c>
      <c r="I52" s="5"/>
      <c r="J52" s="166" t="s">
        <v>245</v>
      </c>
      <c r="K52" s="167"/>
      <c r="L52" s="167"/>
      <c r="M52" s="167"/>
      <c r="N52" s="167"/>
      <c r="O52" s="167"/>
      <c r="P52" s="167"/>
      <c r="Q52" s="168"/>
      <c r="R52" s="129"/>
      <c r="S52" s="34">
        <f>1.54*365</f>
        <v>562.1</v>
      </c>
      <c r="T52" s="34">
        <f>2.57*365</f>
        <v>938.05</v>
      </c>
      <c r="U52" s="34">
        <f>5*365</f>
        <v>1825</v>
      </c>
    </row>
    <row r="53" spans="2:21" ht="187.5" customHeight="1" thickBot="1" x14ac:dyDescent="0.25">
      <c r="B53" s="17" t="s">
        <v>60</v>
      </c>
      <c r="C53" s="10" t="s">
        <v>202</v>
      </c>
      <c r="D53" s="178" t="s">
        <v>161</v>
      </c>
      <c r="E53" s="171"/>
      <c r="F53" s="5" t="s">
        <v>85</v>
      </c>
      <c r="G53" s="27"/>
      <c r="H53" s="32">
        <v>1.06</v>
      </c>
      <c r="I53" s="5"/>
      <c r="J53" s="166" t="s">
        <v>216</v>
      </c>
      <c r="K53" s="167"/>
      <c r="L53" s="167"/>
      <c r="M53" s="167"/>
      <c r="N53" s="167"/>
      <c r="O53" s="167"/>
      <c r="P53" s="167"/>
      <c r="Q53" s="168"/>
      <c r="R53" s="32"/>
      <c r="S53" s="34">
        <v>1</v>
      </c>
      <c r="T53" s="58">
        <f>H53</f>
        <v>1.06</v>
      </c>
      <c r="U53" s="34">
        <v>1.1499999999999999</v>
      </c>
    </row>
    <row r="54" spans="2:21" ht="55.5" customHeight="1" thickBot="1" x14ac:dyDescent="0.25">
      <c r="B54" s="17" t="s">
        <v>61</v>
      </c>
      <c r="C54" s="10">
        <v>3.4129999999999998E-3</v>
      </c>
      <c r="D54" s="178" t="s">
        <v>210</v>
      </c>
      <c r="E54" s="171"/>
      <c r="F54" s="5" t="s">
        <v>85</v>
      </c>
      <c r="G54" s="27"/>
      <c r="H54" s="140">
        <v>3.4129999999999998E-3</v>
      </c>
      <c r="I54" s="5" t="s">
        <v>200</v>
      </c>
      <c r="J54" s="166"/>
      <c r="K54" s="167"/>
      <c r="L54" s="167"/>
      <c r="M54" s="167"/>
      <c r="N54" s="167"/>
      <c r="O54" s="167"/>
      <c r="P54" s="167"/>
      <c r="Q54" s="168"/>
      <c r="R54" s="140"/>
      <c r="S54" s="34">
        <v>3.4129999999999998E-3</v>
      </c>
      <c r="T54" s="34">
        <v>3.4129999999999998E-3</v>
      </c>
      <c r="U54" s="34">
        <v>3.4129999999999998E-3</v>
      </c>
    </row>
    <row r="55" spans="2:21" ht="41.25" customHeight="1" thickBot="1" x14ac:dyDescent="0.25">
      <c r="B55" s="17" t="s">
        <v>62</v>
      </c>
      <c r="C55" s="10" t="s">
        <v>112</v>
      </c>
      <c r="D55" s="178" t="s">
        <v>208</v>
      </c>
      <c r="E55" s="171"/>
      <c r="F55" s="5" t="s">
        <v>85</v>
      </c>
      <c r="G55" s="27"/>
      <c r="H55" s="137">
        <v>0.49</v>
      </c>
      <c r="I55" s="5"/>
      <c r="J55" s="166" t="s">
        <v>217</v>
      </c>
      <c r="K55" s="167"/>
      <c r="L55" s="167"/>
      <c r="M55" s="167"/>
      <c r="N55" s="167"/>
      <c r="O55" s="167"/>
      <c r="P55" s="167"/>
      <c r="Q55" s="168"/>
      <c r="R55" s="137"/>
      <c r="S55" s="138">
        <v>0</v>
      </c>
      <c r="T55" s="138">
        <v>0.49</v>
      </c>
      <c r="U55" s="138">
        <v>0.5</v>
      </c>
    </row>
    <row r="56" spans="2:21" ht="164.25" customHeight="1" thickBot="1" x14ac:dyDescent="0.25">
      <c r="B56" s="17" t="s">
        <v>63</v>
      </c>
      <c r="C56" s="10" t="s">
        <v>209</v>
      </c>
      <c r="D56" s="178" t="s">
        <v>214</v>
      </c>
      <c r="E56" s="171"/>
      <c r="F56" s="5" t="s">
        <v>85</v>
      </c>
      <c r="G56" s="27"/>
      <c r="H56" s="91">
        <v>0.7</v>
      </c>
      <c r="I56" s="5"/>
      <c r="J56" s="166" t="s">
        <v>218</v>
      </c>
      <c r="K56" s="167"/>
      <c r="L56" s="167"/>
      <c r="M56" s="167"/>
      <c r="N56" s="167"/>
      <c r="O56" s="167"/>
      <c r="P56" s="167"/>
      <c r="Q56" s="168"/>
      <c r="R56" s="91"/>
      <c r="S56" s="34">
        <v>0.65</v>
      </c>
      <c r="T56" s="34">
        <v>0.7</v>
      </c>
      <c r="U56" s="34">
        <v>0.75</v>
      </c>
    </row>
    <row r="57" spans="2:21" ht="13.5" customHeight="1" thickBot="1" x14ac:dyDescent="0.25">
      <c r="B57" s="17" t="s">
        <v>64</v>
      </c>
      <c r="C57" s="10"/>
      <c r="D57" s="178"/>
      <c r="E57" s="171"/>
      <c r="F57" s="5"/>
      <c r="G57" s="27"/>
      <c r="H57" s="16"/>
      <c r="I57" s="5"/>
      <c r="J57" s="156"/>
      <c r="K57" s="157"/>
      <c r="L57" s="157"/>
      <c r="M57" s="157"/>
      <c r="N57" s="157"/>
      <c r="O57" s="157"/>
      <c r="P57" s="157"/>
      <c r="Q57" s="158"/>
      <c r="R57" s="53"/>
      <c r="S57" s="34"/>
      <c r="T57" s="34"/>
      <c r="U57" s="34"/>
    </row>
    <row r="58" spans="2:21" ht="13.5" customHeight="1" thickBot="1" x14ac:dyDescent="0.25">
      <c r="B58" s="17" t="s">
        <v>65</v>
      </c>
      <c r="C58" s="10"/>
      <c r="D58" s="178"/>
      <c r="E58" s="171"/>
      <c r="F58" s="5"/>
      <c r="G58" s="27"/>
      <c r="H58" s="16"/>
      <c r="I58" s="5"/>
      <c r="J58" s="156"/>
      <c r="K58" s="157"/>
      <c r="L58" s="157"/>
      <c r="M58" s="157"/>
      <c r="N58" s="157"/>
      <c r="O58" s="157"/>
      <c r="P58" s="157"/>
      <c r="Q58" s="158"/>
      <c r="R58" s="30"/>
      <c r="S58" s="34"/>
      <c r="T58" s="34"/>
      <c r="U58" s="34"/>
    </row>
    <row r="59" spans="2:21" ht="13.5" thickBot="1" x14ac:dyDescent="0.25">
      <c r="B59" s="17" t="s">
        <v>66</v>
      </c>
      <c r="C59" s="10"/>
      <c r="D59" s="178"/>
      <c r="E59" s="171"/>
      <c r="F59" s="5"/>
      <c r="G59" s="27"/>
      <c r="H59" s="16"/>
      <c r="I59" s="5"/>
      <c r="J59" s="156"/>
      <c r="K59" s="157"/>
      <c r="L59" s="157"/>
      <c r="M59" s="157"/>
      <c r="N59" s="157"/>
      <c r="O59" s="157"/>
      <c r="P59" s="157"/>
      <c r="Q59" s="158"/>
      <c r="R59" s="30"/>
      <c r="S59" s="34"/>
      <c r="T59" s="34"/>
      <c r="U59" s="34"/>
    </row>
    <row r="60" spans="2:21" ht="13.5" thickBot="1" x14ac:dyDescent="0.25">
      <c r="B60" s="17" t="s">
        <v>67</v>
      </c>
      <c r="C60" s="10"/>
      <c r="D60" s="159"/>
      <c r="E60" s="160"/>
      <c r="F60" s="5"/>
      <c r="G60" s="27"/>
      <c r="H60" s="16"/>
      <c r="I60" s="5"/>
      <c r="J60" s="156"/>
      <c r="K60" s="157"/>
      <c r="L60" s="157"/>
      <c r="M60" s="157"/>
      <c r="N60" s="157"/>
      <c r="O60" s="157"/>
      <c r="P60" s="157"/>
      <c r="Q60" s="158"/>
      <c r="R60" s="30"/>
      <c r="S60" s="34"/>
      <c r="T60" s="34"/>
      <c r="U60" s="34"/>
    </row>
    <row r="61" spans="2:21" ht="13.5" thickBot="1" x14ac:dyDescent="0.25">
      <c r="B61" s="17" t="s">
        <v>68</v>
      </c>
      <c r="C61" s="10"/>
      <c r="D61" s="159"/>
      <c r="E61" s="160"/>
      <c r="F61" s="5"/>
      <c r="G61" s="27"/>
      <c r="H61" s="16"/>
      <c r="I61" s="5"/>
      <c r="J61" s="156"/>
      <c r="K61" s="157"/>
      <c r="L61" s="157"/>
      <c r="M61" s="157"/>
      <c r="N61" s="157"/>
      <c r="O61" s="157"/>
      <c r="P61" s="157"/>
      <c r="Q61" s="158"/>
      <c r="R61" s="30"/>
      <c r="S61" s="34"/>
      <c r="T61" s="34"/>
      <c r="U61" s="34"/>
    </row>
    <row r="62" spans="2:21" ht="13.5" thickBot="1" x14ac:dyDescent="0.25">
      <c r="B62" s="17" t="s">
        <v>69</v>
      </c>
      <c r="C62" s="10"/>
      <c r="D62" s="159"/>
      <c r="E62" s="160"/>
      <c r="F62" s="5"/>
      <c r="G62" s="27"/>
      <c r="H62" s="16"/>
      <c r="I62" s="5"/>
      <c r="J62" s="156"/>
      <c r="K62" s="157"/>
      <c r="L62" s="157"/>
      <c r="M62" s="157"/>
      <c r="N62" s="157"/>
      <c r="O62" s="157"/>
      <c r="P62" s="157"/>
      <c r="Q62" s="158"/>
      <c r="R62" s="30"/>
      <c r="S62" s="34"/>
      <c r="T62" s="34"/>
      <c r="U62" s="34"/>
    </row>
    <row r="63" spans="2:21" ht="13.5" thickBot="1" x14ac:dyDescent="0.25">
      <c r="B63" s="17" t="s">
        <v>70</v>
      </c>
      <c r="C63" s="10"/>
      <c r="D63" s="159"/>
      <c r="E63" s="160"/>
      <c r="F63" s="5"/>
      <c r="G63" s="27"/>
      <c r="H63" s="16"/>
      <c r="I63" s="5"/>
      <c r="J63" s="156"/>
      <c r="K63" s="157"/>
      <c r="L63" s="157"/>
      <c r="M63" s="157"/>
      <c r="N63" s="157"/>
      <c r="O63" s="157"/>
      <c r="P63" s="157"/>
      <c r="Q63" s="158"/>
      <c r="R63" s="30"/>
      <c r="S63" s="34"/>
      <c r="T63" s="34"/>
      <c r="U63" s="34"/>
    </row>
    <row r="64" spans="2:21" ht="13.5" thickBot="1" x14ac:dyDescent="0.25">
      <c r="B64" s="17" t="s">
        <v>71</v>
      </c>
      <c r="C64" s="10"/>
      <c r="D64" s="159"/>
      <c r="E64" s="160"/>
      <c r="F64" s="5"/>
      <c r="G64" s="27"/>
      <c r="H64" s="16"/>
      <c r="I64" s="5"/>
      <c r="J64" s="156"/>
      <c r="K64" s="157"/>
      <c r="L64" s="157"/>
      <c r="M64" s="157"/>
      <c r="N64" s="157"/>
      <c r="O64" s="157"/>
      <c r="P64" s="157"/>
      <c r="Q64" s="158"/>
      <c r="R64" s="30"/>
      <c r="S64" s="34"/>
      <c r="T64" s="34"/>
      <c r="U64" s="34"/>
    </row>
    <row r="65" spans="2:21" ht="13.5" thickBot="1" x14ac:dyDescent="0.25">
      <c r="B65" s="17" t="s">
        <v>72</v>
      </c>
      <c r="C65" s="10"/>
      <c r="D65" s="159"/>
      <c r="E65" s="160"/>
      <c r="F65" s="5"/>
      <c r="G65" s="27"/>
      <c r="H65" s="16"/>
      <c r="I65" s="5"/>
      <c r="J65" s="156"/>
      <c r="K65" s="157"/>
      <c r="L65" s="157"/>
      <c r="M65" s="157"/>
      <c r="N65" s="157"/>
      <c r="O65" s="157"/>
      <c r="P65" s="157"/>
      <c r="Q65" s="158"/>
      <c r="R65" s="30"/>
      <c r="S65" s="34"/>
      <c r="T65" s="34"/>
      <c r="U65" s="34"/>
    </row>
    <row r="66" spans="2:21" ht="13.5" thickBot="1" x14ac:dyDescent="0.25">
      <c r="B66" s="17" t="s">
        <v>73</v>
      </c>
      <c r="C66" s="10"/>
      <c r="D66" s="159"/>
      <c r="E66" s="160"/>
      <c r="F66" s="5"/>
      <c r="G66" s="27"/>
      <c r="H66" s="16"/>
      <c r="I66" s="5"/>
      <c r="J66" s="156"/>
      <c r="K66" s="157"/>
      <c r="L66" s="157"/>
      <c r="M66" s="157"/>
      <c r="N66" s="157"/>
      <c r="O66" s="157"/>
      <c r="P66" s="157"/>
      <c r="Q66" s="158"/>
      <c r="R66" s="30"/>
      <c r="S66" s="34"/>
      <c r="T66" s="34"/>
      <c r="U66" s="34"/>
    </row>
    <row r="67" spans="2:21" ht="13.5" thickBot="1" x14ac:dyDescent="0.25">
      <c r="B67" s="17" t="s">
        <v>74</v>
      </c>
      <c r="C67" s="10"/>
      <c r="D67" s="159"/>
      <c r="E67" s="160"/>
      <c r="F67" s="5"/>
      <c r="G67" s="27"/>
      <c r="H67" s="16"/>
      <c r="I67" s="5"/>
      <c r="J67" s="156"/>
      <c r="K67" s="157"/>
      <c r="L67" s="157"/>
      <c r="M67" s="157"/>
      <c r="N67" s="157"/>
      <c r="O67" s="157"/>
      <c r="P67" s="157"/>
      <c r="Q67" s="158"/>
      <c r="R67" s="30"/>
      <c r="S67" s="34"/>
      <c r="T67" s="34"/>
      <c r="U67" s="34"/>
    </row>
    <row r="68" spans="2:21" ht="13.5" thickBot="1" x14ac:dyDescent="0.25">
      <c r="B68" s="17" t="s">
        <v>75</v>
      </c>
      <c r="C68" s="10"/>
      <c r="D68" s="159"/>
      <c r="E68" s="160"/>
      <c r="F68" s="5"/>
      <c r="G68" s="27"/>
      <c r="H68" s="16"/>
      <c r="I68" s="5"/>
      <c r="J68" s="156"/>
      <c r="K68" s="157"/>
      <c r="L68" s="157"/>
      <c r="M68" s="157"/>
      <c r="N68" s="157"/>
      <c r="O68" s="157"/>
      <c r="P68" s="157"/>
      <c r="Q68" s="158"/>
      <c r="R68"/>
      <c r="S68" s="34"/>
      <c r="T68" s="34"/>
      <c r="U68" s="34"/>
    </row>
    <row r="69" spans="2:21" ht="13.5" thickBot="1" x14ac:dyDescent="0.25">
      <c r="B69" s="17" t="s">
        <v>76</v>
      </c>
      <c r="C69" s="10"/>
      <c r="D69" s="159"/>
      <c r="E69" s="160"/>
      <c r="F69" s="5"/>
      <c r="G69" s="27"/>
      <c r="H69" s="16"/>
      <c r="I69" s="5"/>
      <c r="J69" s="156"/>
      <c r="K69" s="157"/>
      <c r="L69" s="157"/>
      <c r="M69" s="157"/>
      <c r="N69" s="157"/>
      <c r="O69" s="157"/>
      <c r="P69" s="157"/>
      <c r="Q69" s="158"/>
      <c r="R69"/>
      <c r="S69" s="34"/>
      <c r="T69" s="34"/>
      <c r="U69" s="34"/>
    </row>
    <row r="70" spans="2:21" ht="13.5" thickBot="1" x14ac:dyDescent="0.25">
      <c r="B70" s="17" t="s">
        <v>77</v>
      </c>
      <c r="C70" s="10"/>
      <c r="D70" s="159"/>
      <c r="E70" s="160"/>
      <c r="F70" s="5"/>
      <c r="G70" s="27"/>
      <c r="H70" s="16"/>
      <c r="I70" s="5"/>
      <c r="J70" s="156"/>
      <c r="K70" s="157"/>
      <c r="L70" s="157"/>
      <c r="M70" s="157"/>
      <c r="N70" s="157"/>
      <c r="O70" s="157"/>
      <c r="P70" s="157"/>
      <c r="Q70" s="158"/>
      <c r="R70"/>
      <c r="S70" s="34"/>
      <c r="T70" s="34"/>
      <c r="U70" s="34"/>
    </row>
    <row r="71" spans="2:21" ht="13.5" thickBot="1" x14ac:dyDescent="0.25">
      <c r="B71" s="17" t="s">
        <v>78</v>
      </c>
      <c r="C71" s="10"/>
      <c r="D71" s="159"/>
      <c r="E71" s="160"/>
      <c r="F71" s="5"/>
      <c r="G71" s="27"/>
      <c r="H71" s="16"/>
      <c r="I71" s="5"/>
      <c r="J71" s="156"/>
      <c r="K71" s="157"/>
      <c r="L71" s="157"/>
      <c r="M71" s="157"/>
      <c r="N71" s="157"/>
      <c r="O71" s="157"/>
      <c r="P71" s="157"/>
      <c r="Q71" s="158"/>
      <c r="R71"/>
      <c r="S71" s="34"/>
      <c r="T71" s="34"/>
      <c r="U71" s="34"/>
    </row>
    <row r="72" spans="2:21" ht="13.5" thickBot="1" x14ac:dyDescent="0.25">
      <c r="B72" s="17" t="s">
        <v>79</v>
      </c>
      <c r="C72" s="10"/>
      <c r="D72" s="159"/>
      <c r="E72" s="160"/>
      <c r="F72" s="5"/>
      <c r="G72" s="27"/>
      <c r="H72" s="16"/>
      <c r="I72" s="5"/>
      <c r="J72" s="156"/>
      <c r="K72" s="157"/>
      <c r="L72" s="157"/>
      <c r="M72" s="157"/>
      <c r="N72" s="157"/>
      <c r="O72" s="157"/>
      <c r="P72" s="157"/>
      <c r="Q72" s="158"/>
      <c r="R72"/>
      <c r="S72" s="34"/>
      <c r="T72" s="34"/>
      <c r="U72" s="34"/>
    </row>
    <row r="73" spans="2:21" ht="13.5" thickBot="1" x14ac:dyDescent="0.25">
      <c r="B73" s="17" t="s">
        <v>80</v>
      </c>
      <c r="C73" s="10"/>
      <c r="D73" s="159"/>
      <c r="E73" s="160"/>
      <c r="F73" s="5"/>
      <c r="G73" s="27"/>
      <c r="H73" s="16"/>
      <c r="I73" s="5"/>
      <c r="J73" s="156"/>
      <c r="K73" s="157"/>
      <c r="L73" s="157"/>
      <c r="M73" s="157"/>
      <c r="N73" s="157"/>
      <c r="O73" s="157"/>
      <c r="P73" s="157"/>
      <c r="Q73" s="158"/>
      <c r="R73"/>
      <c r="S73" s="34"/>
      <c r="T73" s="34"/>
      <c r="U73" s="34"/>
    </row>
    <row r="74" spans="2:21" ht="13.5" thickBot="1" x14ac:dyDescent="0.25">
      <c r="B74" s="17" t="s">
        <v>81</v>
      </c>
      <c r="C74" s="10"/>
      <c r="D74" s="159"/>
      <c r="E74" s="160"/>
      <c r="F74" s="5"/>
      <c r="G74" s="27"/>
      <c r="H74" s="16"/>
      <c r="I74" s="5"/>
      <c r="J74" s="156"/>
      <c r="K74" s="157"/>
      <c r="L74" s="157"/>
      <c r="M74" s="157"/>
      <c r="N74" s="157"/>
      <c r="O74" s="157"/>
      <c r="P74" s="157"/>
      <c r="Q74" s="158"/>
      <c r="R74"/>
      <c r="S74" s="34"/>
      <c r="T74" s="34"/>
      <c r="U74" s="34"/>
    </row>
    <row r="75" spans="2:21" ht="13.5" thickBot="1" x14ac:dyDescent="0.25">
      <c r="B75" s="17" t="s">
        <v>82</v>
      </c>
      <c r="C75" s="10"/>
      <c r="D75" s="159"/>
      <c r="E75" s="160"/>
      <c r="F75" s="5"/>
      <c r="G75" s="27"/>
      <c r="H75" s="16"/>
      <c r="I75" s="5"/>
      <c r="J75" s="156"/>
      <c r="K75" s="157"/>
      <c r="L75" s="157"/>
      <c r="M75" s="157"/>
      <c r="N75" s="157"/>
      <c r="O75" s="157"/>
      <c r="P75" s="157"/>
      <c r="Q75" s="158"/>
      <c r="R75"/>
      <c r="S75" s="34"/>
      <c r="T75" s="34"/>
      <c r="U75" s="34"/>
    </row>
    <row r="76" spans="2:21" ht="13.5" thickBot="1" x14ac:dyDescent="0.25">
      <c r="B76" s="17" t="s">
        <v>83</v>
      </c>
      <c r="C76" s="10"/>
      <c r="D76" s="159"/>
      <c r="E76" s="160"/>
      <c r="F76" s="5"/>
      <c r="G76" s="27"/>
      <c r="H76" s="16"/>
      <c r="I76" s="5"/>
      <c r="J76" s="156"/>
      <c r="K76" s="157"/>
      <c r="L76" s="157"/>
      <c r="M76" s="157"/>
      <c r="N76" s="157"/>
      <c r="O76" s="157"/>
      <c r="P76" s="157"/>
      <c r="Q76" s="158"/>
      <c r="R76"/>
      <c r="S76" s="34"/>
      <c r="T76" s="34"/>
      <c r="U76" s="34"/>
    </row>
    <row r="77" spans="2:21" x14ac:dyDescent="0.2">
      <c r="R77" s="30"/>
      <c r="T77"/>
    </row>
    <row r="78" spans="2:21" x14ac:dyDescent="0.2">
      <c r="R78"/>
      <c r="S78"/>
      <c r="T78"/>
    </row>
    <row r="79" spans="2:21" ht="12.75" customHeight="1" x14ac:dyDescent="0.2">
      <c r="B79" s="54" t="s">
        <v>84</v>
      </c>
      <c r="C79" s="41"/>
      <c r="D79" s="41"/>
      <c r="E79" s="41"/>
      <c r="F79" s="41"/>
      <c r="G79" s="41"/>
      <c r="R79"/>
      <c r="S79"/>
      <c r="T79"/>
    </row>
    <row r="80" spans="2:21" x14ac:dyDescent="0.2">
      <c r="R80"/>
      <c r="S80"/>
      <c r="T80"/>
    </row>
    <row r="81" spans="2:20" x14ac:dyDescent="0.2">
      <c r="C81" s="15"/>
      <c r="E81" s="15"/>
      <c r="R81"/>
      <c r="S81"/>
      <c r="T81"/>
    </row>
    <row r="82" spans="2:20" ht="207.75" customHeight="1" x14ac:dyDescent="0.2">
      <c r="C82" s="48" t="s">
        <v>162</v>
      </c>
      <c r="D82" s="96" t="s">
        <v>278</v>
      </c>
      <c r="E82" s="96" t="s">
        <v>286</v>
      </c>
      <c r="F82" s="47" t="s">
        <v>274</v>
      </c>
      <c r="G82" s="117" t="s">
        <v>284</v>
      </c>
      <c r="H82" s="47" t="s">
        <v>279</v>
      </c>
      <c r="I82" s="46" t="s">
        <v>258</v>
      </c>
      <c r="Q82" s="21"/>
      <c r="R82"/>
      <c r="S82"/>
      <c r="T82"/>
    </row>
    <row r="83" spans="2:20" ht="25.5" x14ac:dyDescent="0.2">
      <c r="C83" s="49" t="s">
        <v>163</v>
      </c>
      <c r="D83" s="75" t="s">
        <v>244</v>
      </c>
      <c r="E83" s="97">
        <f>F83*365</f>
        <v>896.98749999999995</v>
      </c>
      <c r="F83" s="74">
        <f t="shared" ref="F83:F95" si="0">VLOOKUP(D83,$C$99:$D$119,2,FALSE)</f>
        <v>2.4575</v>
      </c>
      <c r="G83" s="50">
        <v>9.5999999999999992E-3</v>
      </c>
      <c r="H83" s="73">
        <f t="shared" ref="H83:H95" si="1">VLOOKUP(D83,$C$99:$M$117,3,FALSE)</f>
        <v>8.0666666666666664E-2</v>
      </c>
      <c r="I83" s="42" t="s">
        <v>241</v>
      </c>
      <c r="Q83" s="21"/>
      <c r="R83"/>
      <c r="S83"/>
      <c r="T83"/>
    </row>
    <row r="84" spans="2:20" ht="12.75" customHeight="1" x14ac:dyDescent="0.2">
      <c r="B84" s="155"/>
      <c r="C84" s="78" t="s">
        <v>190</v>
      </c>
      <c r="D84" s="93" t="s">
        <v>268</v>
      </c>
      <c r="E84" s="98"/>
      <c r="F84" s="93"/>
      <c r="G84" s="94"/>
      <c r="H84" s="94"/>
      <c r="I84" s="95"/>
      <c r="Q84" s="21"/>
      <c r="R84"/>
      <c r="S84"/>
      <c r="T84"/>
    </row>
    <row r="85" spans="2:20" x14ac:dyDescent="0.2">
      <c r="B85" s="155"/>
      <c r="C85" s="78" t="s">
        <v>198</v>
      </c>
      <c r="D85" s="93" t="s">
        <v>268</v>
      </c>
      <c r="E85" s="98"/>
      <c r="F85" s="93"/>
      <c r="G85" s="94"/>
      <c r="H85" s="94"/>
      <c r="I85" s="95"/>
      <c r="Q85" s="21"/>
      <c r="R85"/>
      <c r="S85"/>
      <c r="T85"/>
    </row>
    <row r="86" spans="2:20" ht="51" x14ac:dyDescent="0.2">
      <c r="C86" s="49" t="s">
        <v>269</v>
      </c>
      <c r="D86" s="72" t="s">
        <v>172</v>
      </c>
      <c r="E86" s="97">
        <f t="shared" ref="E86:E95" si="2">F86*365</f>
        <v>938.05</v>
      </c>
      <c r="F86" s="74">
        <f t="shared" si="0"/>
        <v>2.57</v>
      </c>
      <c r="G86" s="164">
        <v>0.66149999999999998</v>
      </c>
      <c r="H86" s="73">
        <f t="shared" si="1"/>
        <v>9.5000000000000001E-2</v>
      </c>
      <c r="I86" s="42" t="s">
        <v>239</v>
      </c>
      <c r="Q86" s="21"/>
      <c r="R86" s="30"/>
      <c r="T86"/>
    </row>
    <row r="87" spans="2:20" x14ac:dyDescent="0.2">
      <c r="C87" s="49" t="s">
        <v>164</v>
      </c>
      <c r="D87" s="31" t="s">
        <v>186</v>
      </c>
      <c r="E87" s="97">
        <f t="shared" si="2"/>
        <v>1825</v>
      </c>
      <c r="F87" s="74">
        <f t="shared" si="0"/>
        <v>5</v>
      </c>
      <c r="G87" s="165"/>
      <c r="H87" s="73">
        <f t="shared" si="1"/>
        <v>0.184</v>
      </c>
      <c r="I87" s="42"/>
      <c r="Q87" s="21"/>
      <c r="R87" s="30"/>
      <c r="T87"/>
    </row>
    <row r="88" spans="2:20" ht="89.25" x14ac:dyDescent="0.2">
      <c r="C88" s="49" t="s">
        <v>170</v>
      </c>
      <c r="D88" s="72" t="s">
        <v>242</v>
      </c>
      <c r="E88" s="97">
        <f t="shared" si="2"/>
        <v>1328.0785714285714</v>
      </c>
      <c r="F88" s="74">
        <f t="shared" si="0"/>
        <v>3.6385714285714283</v>
      </c>
      <c r="G88" s="50"/>
      <c r="H88" s="73">
        <f t="shared" si="1"/>
        <v>0.12242857142857143</v>
      </c>
      <c r="I88" s="42" t="s">
        <v>237</v>
      </c>
      <c r="Q88" s="21"/>
      <c r="R88" s="30"/>
      <c r="T88"/>
    </row>
    <row r="89" spans="2:20" x14ac:dyDescent="0.2">
      <c r="C89" s="49" t="s">
        <v>165</v>
      </c>
      <c r="D89" s="31" t="s">
        <v>186</v>
      </c>
      <c r="E89" s="97">
        <f t="shared" si="2"/>
        <v>1825</v>
      </c>
      <c r="F89" s="74">
        <f t="shared" si="0"/>
        <v>5</v>
      </c>
      <c r="G89" s="50"/>
      <c r="H89" s="73">
        <f t="shared" si="1"/>
        <v>0.184</v>
      </c>
      <c r="I89" s="42"/>
      <c r="Q89" s="21"/>
      <c r="R89" s="30"/>
      <c r="T89"/>
    </row>
    <row r="90" spans="2:20" ht="51" x14ac:dyDescent="0.2">
      <c r="C90" s="49" t="s">
        <v>171</v>
      </c>
      <c r="D90" s="31" t="s">
        <v>186</v>
      </c>
      <c r="E90" s="97">
        <f t="shared" si="2"/>
        <v>1825</v>
      </c>
      <c r="F90" s="74">
        <f t="shared" si="0"/>
        <v>5</v>
      </c>
      <c r="G90" s="50"/>
      <c r="H90" s="73">
        <f t="shared" si="1"/>
        <v>0.184</v>
      </c>
      <c r="I90" s="42" t="s">
        <v>240</v>
      </c>
      <c r="Q90" s="21"/>
      <c r="R90" s="30"/>
      <c r="T90"/>
    </row>
    <row r="91" spans="2:20" x14ac:dyDescent="0.2">
      <c r="C91" s="49" t="s">
        <v>166</v>
      </c>
      <c r="D91" s="71" t="s">
        <v>172</v>
      </c>
      <c r="E91" s="97">
        <f t="shared" si="2"/>
        <v>938.05</v>
      </c>
      <c r="F91" s="74">
        <f t="shared" si="0"/>
        <v>2.57</v>
      </c>
      <c r="G91" s="50"/>
      <c r="H91" s="73">
        <f t="shared" si="1"/>
        <v>9.5000000000000001E-2</v>
      </c>
      <c r="I91" s="42"/>
      <c r="Q91" s="21"/>
      <c r="R91" s="30"/>
      <c r="T91"/>
    </row>
    <row r="92" spans="2:20" x14ac:dyDescent="0.2">
      <c r="C92" s="49" t="s">
        <v>167</v>
      </c>
      <c r="D92" s="71" t="s">
        <v>172</v>
      </c>
      <c r="E92" s="97">
        <f t="shared" si="2"/>
        <v>938.05</v>
      </c>
      <c r="F92" s="74">
        <f t="shared" si="0"/>
        <v>2.57</v>
      </c>
      <c r="G92" s="50"/>
      <c r="H92" s="73">
        <f t="shared" si="1"/>
        <v>9.5000000000000001E-2</v>
      </c>
      <c r="I92" s="42"/>
      <c r="Q92" s="21"/>
      <c r="R92" s="30"/>
      <c r="T92"/>
    </row>
    <row r="93" spans="2:20" ht="51" x14ac:dyDescent="0.2">
      <c r="C93" s="49" t="s">
        <v>168</v>
      </c>
      <c r="D93" s="72" t="s">
        <v>271</v>
      </c>
      <c r="E93" s="97">
        <f t="shared" si="2"/>
        <v>846.8</v>
      </c>
      <c r="F93" s="74">
        <f>VLOOKUP(D93,$C$99:$D$119,2,FALSE)</f>
        <v>2.3199999999999998</v>
      </c>
      <c r="G93" s="50">
        <v>0.1353</v>
      </c>
      <c r="H93" s="73">
        <f t="shared" si="1"/>
        <v>0.11612499999999999</v>
      </c>
      <c r="I93" s="42" t="s">
        <v>238</v>
      </c>
      <c r="Q93" s="21"/>
      <c r="R93" s="30"/>
      <c r="T93"/>
    </row>
    <row r="94" spans="2:20" x14ac:dyDescent="0.2">
      <c r="C94" s="49" t="s">
        <v>169</v>
      </c>
      <c r="D94" s="71" t="s">
        <v>172</v>
      </c>
      <c r="E94" s="97">
        <f t="shared" si="2"/>
        <v>938.05</v>
      </c>
      <c r="F94" s="74">
        <f t="shared" si="0"/>
        <v>2.57</v>
      </c>
      <c r="G94" s="50"/>
      <c r="H94" s="73">
        <f t="shared" si="1"/>
        <v>9.5000000000000001E-2</v>
      </c>
      <c r="I94" s="42"/>
      <c r="Q94" s="21"/>
      <c r="R94" s="30"/>
      <c r="T94"/>
    </row>
    <row r="95" spans="2:20" x14ac:dyDescent="0.2">
      <c r="C95" s="71" t="s">
        <v>243</v>
      </c>
      <c r="D95" s="71" t="s">
        <v>172</v>
      </c>
      <c r="E95" s="97">
        <f t="shared" si="2"/>
        <v>938.05</v>
      </c>
      <c r="F95" s="74">
        <f t="shared" si="0"/>
        <v>2.57</v>
      </c>
      <c r="G95" s="31"/>
      <c r="H95" s="73">
        <f t="shared" si="1"/>
        <v>9.5000000000000001E-2</v>
      </c>
      <c r="I95" s="77"/>
      <c r="O95" s="21"/>
      <c r="P95" s="30"/>
      <c r="Q95" s="30"/>
      <c r="R95"/>
      <c r="S95"/>
      <c r="T95"/>
    </row>
    <row r="96" spans="2:20" x14ac:dyDescent="0.2">
      <c r="I96" s="40"/>
      <c r="P96" s="21"/>
      <c r="Q96" s="30"/>
      <c r="R96" s="30"/>
      <c r="S96"/>
      <c r="T96"/>
    </row>
    <row r="97" spans="3:20" ht="36.75" customHeight="1" x14ac:dyDescent="0.2">
      <c r="C97" s="161" t="s">
        <v>199</v>
      </c>
      <c r="D97" s="162"/>
      <c r="E97" s="162"/>
      <c r="F97" s="163"/>
      <c r="I97" s="100"/>
      <c r="J97" s="21"/>
      <c r="K97" s="30"/>
      <c r="L97" s="30"/>
      <c r="R97"/>
      <c r="S97"/>
      <c r="T97"/>
    </row>
    <row r="98" spans="3:20" ht="36" customHeight="1" x14ac:dyDescent="0.2">
      <c r="C98" s="44" t="s">
        <v>184</v>
      </c>
      <c r="D98" s="44" t="s">
        <v>185</v>
      </c>
      <c r="E98" s="45" t="s">
        <v>187</v>
      </c>
      <c r="F98" s="45" t="s">
        <v>188</v>
      </c>
      <c r="G98" s="21"/>
      <c r="H98" s="30"/>
      <c r="I98" s="30"/>
      <c r="R98"/>
      <c r="S98"/>
      <c r="T98"/>
    </row>
    <row r="99" spans="3:20" ht="15" customHeight="1" x14ac:dyDescent="0.2">
      <c r="C99" s="31" t="s">
        <v>173</v>
      </c>
      <c r="D99" s="31">
        <v>2.2400000000000002</v>
      </c>
      <c r="E99" s="31">
        <v>0.128</v>
      </c>
      <c r="F99" s="31"/>
      <c r="G99" s="21"/>
      <c r="H99" s="30"/>
      <c r="I99" s="30"/>
      <c r="R99"/>
      <c r="S99"/>
      <c r="T99"/>
    </row>
    <row r="100" spans="3:20" x14ac:dyDescent="0.2">
      <c r="C100" s="31" t="s">
        <v>174</v>
      </c>
      <c r="D100" s="31">
        <v>1.7</v>
      </c>
      <c r="E100" s="31">
        <v>7.1999999999999995E-2</v>
      </c>
      <c r="F100" s="31"/>
      <c r="G100" s="21"/>
      <c r="H100" s="30"/>
      <c r="I100" s="30"/>
      <c r="R100"/>
      <c r="S100"/>
      <c r="T100"/>
    </row>
    <row r="101" spans="3:20" x14ac:dyDescent="0.2">
      <c r="C101" s="31" t="s">
        <v>175</v>
      </c>
      <c r="D101" s="31">
        <v>1.69</v>
      </c>
      <c r="E101" s="31">
        <v>4.2999999999999997E-2</v>
      </c>
      <c r="F101" s="31"/>
      <c r="G101" s="21"/>
      <c r="H101" s="30"/>
      <c r="I101" s="30"/>
      <c r="R101"/>
      <c r="S101"/>
      <c r="T101"/>
    </row>
    <row r="102" spans="3:20" x14ac:dyDescent="0.2">
      <c r="C102" s="31" t="s">
        <v>176</v>
      </c>
      <c r="D102" s="31">
        <v>2.94</v>
      </c>
      <c r="E102" s="31">
        <v>0.13400000000000001</v>
      </c>
      <c r="F102" s="31"/>
      <c r="G102" s="21"/>
      <c r="H102" s="30"/>
      <c r="I102" s="30"/>
      <c r="R102"/>
      <c r="S102"/>
      <c r="T102"/>
    </row>
    <row r="103" spans="3:20" x14ac:dyDescent="0.2">
      <c r="C103" s="31" t="s">
        <v>177</v>
      </c>
      <c r="D103" s="31">
        <v>7.16</v>
      </c>
      <c r="E103" s="31">
        <v>0.23699999999999999</v>
      </c>
      <c r="F103" s="31"/>
      <c r="G103" s="21"/>
      <c r="H103" s="30"/>
      <c r="I103" s="30"/>
      <c r="R103"/>
      <c r="S103"/>
      <c r="T103"/>
    </row>
    <row r="104" spans="3:20" x14ac:dyDescent="0.2">
      <c r="C104" s="31" t="s">
        <v>178</v>
      </c>
      <c r="D104" s="31">
        <v>2.94</v>
      </c>
      <c r="E104" s="31">
        <v>9.9000000000000005E-2</v>
      </c>
      <c r="F104" s="31"/>
      <c r="G104" s="21"/>
      <c r="H104" s="30"/>
      <c r="I104" s="30"/>
      <c r="R104"/>
      <c r="S104"/>
      <c r="T104"/>
    </row>
    <row r="105" spans="3:20" x14ac:dyDescent="0.2">
      <c r="C105" s="31" t="s">
        <v>179</v>
      </c>
      <c r="D105" s="31">
        <v>4.3899999999999997</v>
      </c>
      <c r="E105" s="31">
        <v>9.5000000000000001E-2</v>
      </c>
      <c r="F105" s="31"/>
      <c r="G105" s="21"/>
      <c r="H105" s="30"/>
      <c r="I105" s="30"/>
      <c r="R105"/>
      <c r="S105"/>
      <c r="T105"/>
    </row>
    <row r="106" spans="3:20" x14ac:dyDescent="0.2">
      <c r="C106" s="31" t="s">
        <v>180</v>
      </c>
      <c r="D106" s="31">
        <v>4.09</v>
      </c>
      <c r="E106" s="31">
        <v>0.14899999999999999</v>
      </c>
      <c r="F106" s="31"/>
      <c r="G106" s="21"/>
      <c r="H106" s="30"/>
      <c r="I106" s="30"/>
      <c r="R106"/>
      <c r="S106"/>
      <c r="T106"/>
    </row>
    <row r="107" spans="3:20" x14ac:dyDescent="0.2">
      <c r="C107" s="31" t="s">
        <v>181</v>
      </c>
      <c r="D107" s="31">
        <v>1.54</v>
      </c>
      <c r="E107" s="31">
        <v>6.6000000000000003E-2</v>
      </c>
      <c r="F107" s="31"/>
      <c r="G107" s="21"/>
      <c r="H107" s="30"/>
      <c r="I107" s="30"/>
      <c r="R107"/>
      <c r="S107"/>
      <c r="T107"/>
    </row>
    <row r="108" spans="3:20" x14ac:dyDescent="0.2">
      <c r="C108" s="31" t="s">
        <v>182</v>
      </c>
      <c r="D108" s="31">
        <v>2.61</v>
      </c>
      <c r="E108" s="31">
        <v>9.4E-2</v>
      </c>
      <c r="F108" s="31"/>
      <c r="G108" s="21"/>
      <c r="H108" s="30"/>
      <c r="I108" s="30"/>
      <c r="R108"/>
      <c r="S108"/>
      <c r="T108"/>
    </row>
    <row r="109" spans="3:20" x14ac:dyDescent="0.2">
      <c r="C109" s="31" t="s">
        <v>183</v>
      </c>
      <c r="D109" s="31">
        <v>2.59</v>
      </c>
      <c r="E109" s="31">
        <v>0.105</v>
      </c>
      <c r="F109" s="31"/>
      <c r="G109" s="21"/>
      <c r="H109" s="30"/>
      <c r="I109" s="30"/>
      <c r="R109"/>
      <c r="S109"/>
      <c r="T109"/>
    </row>
    <row r="110" spans="3:20" x14ac:dyDescent="0.2">
      <c r="C110" s="31" t="s">
        <v>154</v>
      </c>
      <c r="D110" s="31">
        <v>2.82</v>
      </c>
      <c r="E110" s="31">
        <v>6.2E-2</v>
      </c>
      <c r="F110" s="31"/>
      <c r="G110" s="21"/>
      <c r="H110" s="30"/>
      <c r="I110" s="30"/>
      <c r="R110"/>
      <c r="S110"/>
      <c r="T110"/>
    </row>
    <row r="111" spans="3:20" ht="33" customHeight="1" x14ac:dyDescent="0.2">
      <c r="C111" s="31" t="s">
        <v>172</v>
      </c>
      <c r="D111" s="31">
        <v>2.57</v>
      </c>
      <c r="E111" s="31">
        <v>9.5000000000000001E-2</v>
      </c>
      <c r="F111" s="31" t="s">
        <v>309</v>
      </c>
      <c r="G111" s="21"/>
      <c r="H111" s="30"/>
      <c r="I111" s="30"/>
      <c r="R111"/>
      <c r="S111"/>
      <c r="T111"/>
    </row>
    <row r="112" spans="3:20" ht="25.5" x14ac:dyDescent="0.2">
      <c r="C112" s="31" t="s">
        <v>186</v>
      </c>
      <c r="D112" s="31">
        <v>5</v>
      </c>
      <c r="E112" s="31">
        <v>0.184</v>
      </c>
      <c r="F112" s="42" t="s">
        <v>189</v>
      </c>
      <c r="G112" s="21"/>
      <c r="H112" s="30"/>
      <c r="I112" s="30"/>
      <c r="R112"/>
      <c r="S112"/>
      <c r="T112"/>
    </row>
    <row r="113" spans="3:20" x14ac:dyDescent="0.2">
      <c r="C113" s="151"/>
      <c r="D113" s="152"/>
      <c r="E113" s="152"/>
      <c r="F113" s="153"/>
      <c r="K113" s="21"/>
      <c r="L113" s="30"/>
      <c r="M113" s="30"/>
      <c r="R113"/>
      <c r="S113"/>
      <c r="T113"/>
    </row>
    <row r="114" spans="3:20" ht="25.5" x14ac:dyDescent="0.2">
      <c r="C114" s="81" t="s">
        <v>242</v>
      </c>
      <c r="D114" s="82">
        <f>AVERAGE(D101,D102,D103,D105,D106,D108,D109)</f>
        <v>3.6385714285714283</v>
      </c>
      <c r="E114" s="82">
        <f>AVERAGE(E101,E102,E103,E105,E106,E108,E109)</f>
        <v>0.12242857142857143</v>
      </c>
      <c r="F114" s="148" t="s">
        <v>285</v>
      </c>
      <c r="K114" s="21"/>
      <c r="L114" s="30"/>
      <c r="M114" s="30"/>
      <c r="R114"/>
      <c r="S114"/>
      <c r="T114"/>
    </row>
    <row r="115" spans="3:20" x14ac:dyDescent="0.2">
      <c r="C115" s="90" t="s">
        <v>271</v>
      </c>
      <c r="D115" s="83">
        <f>AVERAGE(D100,D102)</f>
        <v>2.3199999999999998</v>
      </c>
      <c r="E115" s="83">
        <f>AVERAGE(E101,E102,E103,E105,E106,E108,E109,E100)</f>
        <v>0.11612499999999999</v>
      </c>
      <c r="F115" s="149"/>
      <c r="K115" s="21"/>
      <c r="L115" s="30"/>
      <c r="M115" s="30"/>
      <c r="R115"/>
      <c r="S115"/>
      <c r="T115"/>
    </row>
    <row r="116" spans="3:20" ht="25.5" x14ac:dyDescent="0.2">
      <c r="C116" s="79" t="s">
        <v>244</v>
      </c>
      <c r="D116" s="83">
        <f>AVERAGE(D101,D108,D109,D102)</f>
        <v>2.4575</v>
      </c>
      <c r="E116" s="83">
        <f>AVERAGE(E101,E108,E109)</f>
        <v>8.0666666666666664E-2</v>
      </c>
      <c r="F116" s="150"/>
      <c r="K116" s="21"/>
      <c r="L116" s="30"/>
      <c r="M116" s="30"/>
      <c r="R116"/>
      <c r="S116"/>
      <c r="T116"/>
    </row>
    <row r="117" spans="3:20" x14ac:dyDescent="0.2">
      <c r="D117" s="52"/>
      <c r="E117" s="52"/>
      <c r="F117" s="80"/>
    </row>
    <row r="118" spans="3:20" x14ac:dyDescent="0.2">
      <c r="D118" s="52"/>
      <c r="E118" s="52"/>
    </row>
    <row r="119" spans="3:20" x14ac:dyDescent="0.2">
      <c r="D119" s="52"/>
      <c r="E119" s="52"/>
    </row>
    <row r="120" spans="3:20" ht="173.25" customHeight="1" x14ac:dyDescent="0.2">
      <c r="D120" s="118" t="s">
        <v>272</v>
      </c>
      <c r="E120" s="89"/>
      <c r="F120" s="154" t="s">
        <v>270</v>
      </c>
      <c r="G120" s="154"/>
    </row>
    <row r="121" spans="3:20" ht="76.5" x14ac:dyDescent="0.2">
      <c r="C121" s="42" t="s">
        <v>191</v>
      </c>
      <c r="D121" s="42" t="s">
        <v>197</v>
      </c>
      <c r="F121" s="42" t="s">
        <v>260</v>
      </c>
      <c r="G121" s="42" t="s">
        <v>267</v>
      </c>
      <c r="H121" s="75" t="s">
        <v>287</v>
      </c>
    </row>
    <row r="122" spans="3:20" x14ac:dyDescent="0.2">
      <c r="C122" s="31" t="s">
        <v>192</v>
      </c>
      <c r="D122" s="43">
        <v>0.17</v>
      </c>
      <c r="F122" s="42" t="s">
        <v>261</v>
      </c>
      <c r="G122" s="51">
        <v>2.0999999999999999E-3</v>
      </c>
      <c r="H122" s="42"/>
    </row>
    <row r="123" spans="3:20" ht="38.25" x14ac:dyDescent="0.2">
      <c r="C123" s="31" t="s">
        <v>193</v>
      </c>
      <c r="D123" s="43">
        <v>0.69</v>
      </c>
      <c r="F123" s="42" t="s">
        <v>262</v>
      </c>
      <c r="G123" s="51">
        <v>0.15609999999999999</v>
      </c>
      <c r="H123" s="42" t="s">
        <v>275</v>
      </c>
    </row>
    <row r="124" spans="3:20" x14ac:dyDescent="0.2">
      <c r="C124" s="31" t="s">
        <v>194</v>
      </c>
      <c r="D124" s="43">
        <v>0.1</v>
      </c>
      <c r="F124" s="42" t="s">
        <v>263</v>
      </c>
      <c r="G124" s="51">
        <v>1E-3</v>
      </c>
      <c r="H124" s="42"/>
    </row>
    <row r="125" spans="3:20" x14ac:dyDescent="0.2">
      <c r="C125" s="31" t="s">
        <v>195</v>
      </c>
      <c r="D125" s="43">
        <v>0.03</v>
      </c>
      <c r="F125" s="42" t="s">
        <v>264</v>
      </c>
      <c r="G125" s="51">
        <v>2.5000000000000001E-3</v>
      </c>
      <c r="H125" s="42"/>
    </row>
    <row r="126" spans="3:20" ht="38.25" x14ac:dyDescent="0.2">
      <c r="C126" s="31" t="s">
        <v>196</v>
      </c>
      <c r="D126" s="43">
        <v>0.01</v>
      </c>
      <c r="F126" s="42" t="s">
        <v>198</v>
      </c>
      <c r="G126" s="51">
        <v>7.0000000000000001E-3</v>
      </c>
      <c r="H126" s="42" t="s">
        <v>275</v>
      </c>
    </row>
    <row r="127" spans="3:20" x14ac:dyDescent="0.2">
      <c r="F127" s="42" t="s">
        <v>265</v>
      </c>
      <c r="G127" s="51">
        <v>5.7999999999999996E-3</v>
      </c>
      <c r="H127" s="42"/>
    </row>
    <row r="128" spans="3:20" x14ac:dyDescent="0.2">
      <c r="F128" s="42" t="s">
        <v>168</v>
      </c>
      <c r="G128" s="51">
        <v>0.156</v>
      </c>
      <c r="H128" s="42"/>
    </row>
    <row r="129" spans="3:8" ht="25.5" x14ac:dyDescent="0.2">
      <c r="F129" s="42" t="s">
        <v>266</v>
      </c>
      <c r="G129" s="51">
        <v>0.67030000000000001</v>
      </c>
      <c r="H129" s="77"/>
    </row>
    <row r="132" spans="3:8" x14ac:dyDescent="0.2">
      <c r="C132" t="s">
        <v>257</v>
      </c>
    </row>
    <row r="133" spans="3:8" x14ac:dyDescent="0.2">
      <c r="C133" s="47" t="s">
        <v>256</v>
      </c>
      <c r="D133" s="47" t="s">
        <v>246</v>
      </c>
      <c r="E133" s="47" t="s">
        <v>247</v>
      </c>
    </row>
    <row r="134" spans="3:8" x14ac:dyDescent="0.2">
      <c r="C134" s="31" t="s">
        <v>198</v>
      </c>
      <c r="D134" s="31" t="s">
        <v>249</v>
      </c>
      <c r="E134" s="88">
        <v>7926.8292682926831</v>
      </c>
    </row>
    <row r="135" spans="3:8" x14ac:dyDescent="0.2">
      <c r="C135" s="31" t="s">
        <v>163</v>
      </c>
      <c r="D135" s="31" t="s">
        <v>248</v>
      </c>
      <c r="E135" s="88">
        <v>10000</v>
      </c>
    </row>
    <row r="136" spans="3:8" x14ac:dyDescent="0.2">
      <c r="C136" s="31" t="s">
        <v>250</v>
      </c>
      <c r="D136" s="31" t="s">
        <v>251</v>
      </c>
      <c r="E136" s="88">
        <v>8000</v>
      </c>
    </row>
    <row r="137" spans="3:8" x14ac:dyDescent="0.2">
      <c r="C137" s="31" t="s">
        <v>250</v>
      </c>
      <c r="D137" s="31" t="s">
        <v>252</v>
      </c>
      <c r="E137" s="88">
        <v>8838.818565400843</v>
      </c>
    </row>
    <row r="138" spans="3:8" x14ac:dyDescent="0.2">
      <c r="C138" s="31" t="s">
        <v>250</v>
      </c>
      <c r="D138" s="31" t="s">
        <v>249</v>
      </c>
      <c r="E138" s="88">
        <v>8721.4076246334316</v>
      </c>
    </row>
    <row r="139" spans="3:8" x14ac:dyDescent="0.2">
      <c r="C139" s="31" t="s">
        <v>250</v>
      </c>
      <c r="D139" s="31" t="s">
        <v>253</v>
      </c>
      <c r="E139" s="88">
        <v>8644.8598130841128</v>
      </c>
    </row>
    <row r="140" spans="3:8" x14ac:dyDescent="0.2">
      <c r="C140" s="31" t="s">
        <v>250</v>
      </c>
      <c r="D140" s="31" t="s">
        <v>254</v>
      </c>
      <c r="E140" s="88">
        <v>8205.1282051282051</v>
      </c>
    </row>
    <row r="141" spans="3:8" x14ac:dyDescent="0.2">
      <c r="C141" s="31" t="s">
        <v>250</v>
      </c>
      <c r="D141" s="31" t="s">
        <v>154</v>
      </c>
      <c r="E141" s="88">
        <v>8000</v>
      </c>
    </row>
    <row r="142" spans="3:8" x14ac:dyDescent="0.2">
      <c r="C142" s="85" t="s">
        <v>255</v>
      </c>
      <c r="D142" s="86"/>
      <c r="E142" s="87">
        <f>AVERAGE(E135:E141)</f>
        <v>8630.0306011780831</v>
      </c>
    </row>
    <row r="144" spans="3:8" x14ac:dyDescent="0.2">
      <c r="D144" s="89"/>
    </row>
    <row r="147" spans="2:7" x14ac:dyDescent="0.2">
      <c r="C147" s="56" t="s">
        <v>305</v>
      </c>
      <c r="D147" s="119" t="s">
        <v>306</v>
      </c>
    </row>
    <row r="148" spans="2:7" ht="27.75" customHeight="1" x14ac:dyDescent="0.2">
      <c r="B148" s="202" t="s">
        <v>307</v>
      </c>
      <c r="C148" s="116" t="s">
        <v>293</v>
      </c>
      <c r="D148" s="116" t="s">
        <v>295</v>
      </c>
      <c r="E148" s="201" t="s">
        <v>297</v>
      </c>
    </row>
    <row r="149" spans="2:7" ht="27.75" customHeight="1" x14ac:dyDescent="0.2">
      <c r="B149" s="202"/>
      <c r="C149" s="116" t="s">
        <v>294</v>
      </c>
      <c r="D149" s="116" t="s">
        <v>296</v>
      </c>
      <c r="E149" s="201"/>
      <c r="F149" s="120" t="s">
        <v>91</v>
      </c>
      <c r="G149" s="120" t="s">
        <v>92</v>
      </c>
    </row>
    <row r="150" spans="2:7" x14ac:dyDescent="0.2">
      <c r="B150" s="120" t="str">
        <f t="shared" ref="B150:B151" si="3">IF(AND($H$48&gt;=F150,$H$48&lt;=G150),$H$48,"")</f>
        <v/>
      </c>
      <c r="C150" s="116">
        <v>25</v>
      </c>
      <c r="D150" s="116">
        <v>250</v>
      </c>
      <c r="E150" s="116" t="s">
        <v>298</v>
      </c>
      <c r="F150" s="120">
        <v>0</v>
      </c>
      <c r="G150" s="120">
        <v>8.9</v>
      </c>
    </row>
    <row r="151" spans="2:7" x14ac:dyDescent="0.2">
      <c r="B151" s="120" t="str">
        <f t="shared" si="3"/>
        <v/>
      </c>
      <c r="C151" s="116">
        <v>40</v>
      </c>
      <c r="D151" s="116">
        <v>450</v>
      </c>
      <c r="E151" s="116" t="s">
        <v>299</v>
      </c>
      <c r="F151" s="120">
        <v>9</v>
      </c>
      <c r="G151" s="122">
        <v>12.9</v>
      </c>
    </row>
    <row r="152" spans="2:7" x14ac:dyDescent="0.2">
      <c r="B152" s="120">
        <f>IF(AND($H$48&gt;=F152,$H$48&lt;=G152),$H$48,"")</f>
        <v>15</v>
      </c>
      <c r="C152" s="116">
        <v>60</v>
      </c>
      <c r="D152" s="116">
        <v>800</v>
      </c>
      <c r="E152" s="116" t="s">
        <v>300</v>
      </c>
      <c r="F152" s="120">
        <v>13</v>
      </c>
      <c r="G152" s="122">
        <v>15.4</v>
      </c>
    </row>
    <row r="153" spans="2:7" x14ac:dyDescent="0.2">
      <c r="B153" s="120" t="str">
        <f t="shared" ref="B153:B156" si="4">IF(AND($H$48&gt;=F153,$H$48&lt;=G153),$H$48,"")</f>
        <v/>
      </c>
      <c r="C153" s="116">
        <v>75</v>
      </c>
      <c r="D153" s="121">
        <v>1110</v>
      </c>
      <c r="E153" s="116" t="s">
        <v>301</v>
      </c>
      <c r="F153" s="120">
        <v>15.5</v>
      </c>
      <c r="G153" s="120">
        <v>23.9</v>
      </c>
    </row>
    <row r="154" spans="2:7" x14ac:dyDescent="0.2">
      <c r="B154" s="120" t="str">
        <f t="shared" si="4"/>
        <v/>
      </c>
      <c r="C154" s="116">
        <v>100</v>
      </c>
      <c r="D154" s="121">
        <v>1600</v>
      </c>
      <c r="E154" s="116" t="s">
        <v>302</v>
      </c>
      <c r="F154" s="120">
        <v>24</v>
      </c>
      <c r="G154" s="120">
        <v>29.9</v>
      </c>
    </row>
    <row r="155" spans="2:7" x14ac:dyDescent="0.2">
      <c r="B155" s="120" t="str">
        <f t="shared" si="4"/>
        <v/>
      </c>
      <c r="C155" s="116">
        <v>125</v>
      </c>
      <c r="D155" s="121">
        <v>2000</v>
      </c>
      <c r="E155" s="116" t="s">
        <v>303</v>
      </c>
      <c r="F155" s="120">
        <v>30</v>
      </c>
      <c r="G155" s="120">
        <v>39.9</v>
      </c>
    </row>
    <row r="156" spans="2:7" x14ac:dyDescent="0.2">
      <c r="B156" s="120" t="str">
        <f t="shared" si="4"/>
        <v/>
      </c>
      <c r="C156" s="116">
        <v>150</v>
      </c>
      <c r="D156" s="121">
        <v>2600</v>
      </c>
      <c r="E156" s="116" t="s">
        <v>304</v>
      </c>
      <c r="F156" s="120">
        <v>40</v>
      </c>
      <c r="G156" s="120">
        <v>9999</v>
      </c>
    </row>
  </sheetData>
  <mergeCells count="115">
    <mergeCell ref="E148:E149"/>
    <mergeCell ref="B148:B149"/>
    <mergeCell ref="D4:O4"/>
    <mergeCell ref="D5:O5"/>
    <mergeCell ref="D6:O6"/>
    <mergeCell ref="D8:O8"/>
    <mergeCell ref="D9:O9"/>
    <mergeCell ref="F32:Q32"/>
    <mergeCell ref="F34:Q34"/>
    <mergeCell ref="C35:Q35"/>
    <mergeCell ref="F36:Q36"/>
    <mergeCell ref="C23:Q23"/>
    <mergeCell ref="F24:Q24"/>
    <mergeCell ref="F25:Q25"/>
    <mergeCell ref="D7:O7"/>
    <mergeCell ref="F15:Q15"/>
    <mergeCell ref="F16:Q16"/>
    <mergeCell ref="F17:Q17"/>
    <mergeCell ref="F18:Q18"/>
    <mergeCell ref="F19:Q19"/>
    <mergeCell ref="F22:Q22"/>
    <mergeCell ref="F26:Q26"/>
    <mergeCell ref="F20:Q20"/>
    <mergeCell ref="F21:Q21"/>
    <mergeCell ref="F28:Q28"/>
    <mergeCell ref="F30:Q30"/>
    <mergeCell ref="J49:Q49"/>
    <mergeCell ref="C40:M40"/>
    <mergeCell ref="P40:Q40"/>
    <mergeCell ref="D41:M41"/>
    <mergeCell ref="P41:Q44"/>
    <mergeCell ref="D42:M42"/>
    <mergeCell ref="D43:M43"/>
    <mergeCell ref="D44:M44"/>
    <mergeCell ref="D47:E47"/>
    <mergeCell ref="D48:E48"/>
    <mergeCell ref="D49:E49"/>
    <mergeCell ref="B45:C46"/>
    <mergeCell ref="D45:E46"/>
    <mergeCell ref="F45:F46"/>
    <mergeCell ref="G45:G46"/>
    <mergeCell ref="H45:H46"/>
    <mergeCell ref="F37:Q37"/>
    <mergeCell ref="F38:Q38"/>
    <mergeCell ref="J45:Q46"/>
    <mergeCell ref="J47:Q47"/>
    <mergeCell ref="J48:Q48"/>
    <mergeCell ref="D57:E57"/>
    <mergeCell ref="D58:E58"/>
    <mergeCell ref="D59:E59"/>
    <mergeCell ref="D54:E54"/>
    <mergeCell ref="D55:E55"/>
    <mergeCell ref="D56:E56"/>
    <mergeCell ref="D50:E50"/>
    <mergeCell ref="D53:E53"/>
    <mergeCell ref="D52:E52"/>
    <mergeCell ref="J50:Q50"/>
    <mergeCell ref="J53:Q53"/>
    <mergeCell ref="J52:Q52"/>
    <mergeCell ref="J54:Q54"/>
    <mergeCell ref="J55:Q55"/>
    <mergeCell ref="J56:Q56"/>
    <mergeCell ref="J57:Q57"/>
    <mergeCell ref="J58:Q58"/>
    <mergeCell ref="J59:Q59"/>
    <mergeCell ref="J51:Q51"/>
    <mergeCell ref="D10:O10"/>
    <mergeCell ref="D11:O11"/>
    <mergeCell ref="D12:O12"/>
    <mergeCell ref="F27:Q27"/>
    <mergeCell ref="F29:Q29"/>
    <mergeCell ref="F31:Q31"/>
    <mergeCell ref="F33:Q33"/>
    <mergeCell ref="D74:E74"/>
    <mergeCell ref="D75:E75"/>
    <mergeCell ref="D71:E71"/>
    <mergeCell ref="D72:E72"/>
    <mergeCell ref="D73:E73"/>
    <mergeCell ref="D68:E68"/>
    <mergeCell ref="D69:E69"/>
    <mergeCell ref="D70:E70"/>
    <mergeCell ref="D65:E65"/>
    <mergeCell ref="D66:E66"/>
    <mergeCell ref="D67:E67"/>
    <mergeCell ref="D62:E62"/>
    <mergeCell ref="D63:E63"/>
    <mergeCell ref="D64:E64"/>
    <mergeCell ref="D51:E51"/>
    <mergeCell ref="I45:I46"/>
    <mergeCell ref="D60:E60"/>
    <mergeCell ref="J60:Q60"/>
    <mergeCell ref="J61:Q61"/>
    <mergeCell ref="J62:Q62"/>
    <mergeCell ref="J63:Q63"/>
    <mergeCell ref="J64:Q64"/>
    <mergeCell ref="J65:Q65"/>
    <mergeCell ref="J66:Q66"/>
    <mergeCell ref="J67:Q67"/>
    <mergeCell ref="C97:F97"/>
    <mergeCell ref="G86:G87"/>
    <mergeCell ref="D61:E61"/>
    <mergeCell ref="F114:F116"/>
    <mergeCell ref="C113:F113"/>
    <mergeCell ref="F120:G120"/>
    <mergeCell ref="B84:B85"/>
    <mergeCell ref="J68:Q68"/>
    <mergeCell ref="J69:Q69"/>
    <mergeCell ref="J70:Q70"/>
    <mergeCell ref="J71:Q71"/>
    <mergeCell ref="J72:Q72"/>
    <mergeCell ref="J73:Q73"/>
    <mergeCell ref="J74:Q74"/>
    <mergeCell ref="J75:Q75"/>
    <mergeCell ref="J76:Q76"/>
    <mergeCell ref="D76:E76"/>
  </mergeCells>
  <conditionalFormatting sqref="G47:G53 G55:G76">
    <cfRule type="expression" dxfId="21" priority="124">
      <formula>IF($F47="L",TRUE,FALSE)</formula>
    </cfRule>
  </conditionalFormatting>
  <conditionalFormatting sqref="H57:H76">
    <cfRule type="expression" dxfId="20" priority="113">
      <formula>IF(OR($F57="L",$F57="C"),TRUE,FALSE)</formula>
    </cfRule>
  </conditionalFormatting>
  <conditionalFormatting sqref="P41:Q44">
    <cfRule type="expression" dxfId="19" priority="111">
      <formula>IF($P$41="Example",TRUE,FALSE)</formula>
    </cfRule>
  </conditionalFormatting>
  <conditionalFormatting sqref="G54">
    <cfRule type="expression" dxfId="18" priority="110">
      <formula>IF($F54="L",TRUE,FALSE)</formula>
    </cfRule>
  </conditionalFormatting>
  <conditionalFormatting sqref="G122:G129">
    <cfRule type="dataBar" priority="83">
      <dataBar>
        <cfvo type="min"/>
        <cfvo type="max"/>
        <color rgb="FF638EC6"/>
      </dataBar>
      <extLst>
        <ext xmlns:x14="http://schemas.microsoft.com/office/spreadsheetml/2009/9/main" uri="{B025F937-C7B1-47D3-B67F-A62EFF666E3E}">
          <x14:id>{245A3C7A-F333-41EB-A115-7A73C8B4DDC2}</x14:id>
        </ext>
      </extLst>
    </cfRule>
  </conditionalFormatting>
  <conditionalFormatting sqref="D122:D126">
    <cfRule type="dataBar" priority="78">
      <dataBar>
        <cfvo type="min"/>
        <cfvo type="max"/>
        <color rgb="FF638EC6"/>
      </dataBar>
      <extLst>
        <ext xmlns:x14="http://schemas.microsoft.com/office/spreadsheetml/2009/9/main" uri="{B025F937-C7B1-47D3-B67F-A62EFF666E3E}">
          <x14:id>{ADA14435-597C-4230-9182-74628B8BFA02}</x14:id>
        </ext>
      </extLst>
    </cfRule>
  </conditionalFormatting>
  <conditionalFormatting sqref="R55:R56">
    <cfRule type="expression" dxfId="17" priority="38">
      <formula>IF(OR($F55="L",$F55="C"),TRUE,FALSE)</formula>
    </cfRule>
  </conditionalFormatting>
  <conditionalFormatting sqref="R54">
    <cfRule type="expression" dxfId="16" priority="37">
      <formula>IF(OR($F54="L",$F54="C"),TRUE,FALSE)</formula>
    </cfRule>
  </conditionalFormatting>
  <conditionalFormatting sqref="R47">
    <cfRule type="expression" dxfId="15" priority="36">
      <formula>IF(OR($F47="L",$F47="C"),TRUE,FALSE)</formula>
    </cfRule>
  </conditionalFormatting>
  <conditionalFormatting sqref="R48">
    <cfRule type="expression" dxfId="14" priority="35">
      <formula>IF(OR($F48="L",$F48="C"),TRUE,FALSE)</formula>
    </cfRule>
  </conditionalFormatting>
  <conditionalFormatting sqref="R49">
    <cfRule type="expression" dxfId="13" priority="34">
      <formula>IF(OR($F49="L",$F49="C"),TRUE,FALSE)</formula>
    </cfRule>
  </conditionalFormatting>
  <conditionalFormatting sqref="R50">
    <cfRule type="expression" dxfId="12" priority="33">
      <formula>IF(OR($F50="L",$F50="C"),TRUE,FALSE)</formula>
    </cfRule>
  </conditionalFormatting>
  <conditionalFormatting sqref="R53">
    <cfRule type="expression" dxfId="11" priority="32">
      <formula>IF(OR($F53="L",$F53="C"),TRUE,FALSE)</formula>
    </cfRule>
  </conditionalFormatting>
  <conditionalFormatting sqref="R51">
    <cfRule type="expression" dxfId="10" priority="31">
      <formula>IF(OR($F51="L",$F51="C"),TRUE,FALSE)</formula>
    </cfRule>
  </conditionalFormatting>
  <conditionalFormatting sqref="R52">
    <cfRule type="expression" dxfId="9" priority="30">
      <formula>IF(OR($F52="L",$F52="C"),TRUE,FALSE)</formula>
    </cfRule>
  </conditionalFormatting>
  <conditionalFormatting sqref="H55:H56">
    <cfRule type="expression" dxfId="8" priority="9">
      <formula>IF(OR($F55="L",$F55="C"),TRUE,FALSE)</formula>
    </cfRule>
  </conditionalFormatting>
  <conditionalFormatting sqref="H54">
    <cfRule type="expression" dxfId="7" priority="8">
      <formula>IF(OR($F54="L",$F54="C"),TRUE,FALSE)</formula>
    </cfRule>
  </conditionalFormatting>
  <conditionalFormatting sqref="H47">
    <cfRule type="expression" dxfId="6" priority="7">
      <formula>IF(OR($F47="L",$F47="C"),TRUE,FALSE)</formula>
    </cfRule>
  </conditionalFormatting>
  <conditionalFormatting sqref="H48">
    <cfRule type="expression" dxfId="5" priority="6">
      <formula>IF(OR($F48="L",$F48="C"),TRUE,FALSE)</formula>
    </cfRule>
  </conditionalFormatting>
  <conditionalFormatting sqref="H49">
    <cfRule type="expression" dxfId="4" priority="5">
      <formula>IF(OR($F49="L",$F49="C"),TRUE,FALSE)</formula>
    </cfRule>
  </conditionalFormatting>
  <conditionalFormatting sqref="H50">
    <cfRule type="expression" dxfId="3" priority="4">
      <formula>IF(OR($F50="L",$F50="C"),TRUE,FALSE)</formula>
    </cfRule>
  </conditionalFormatting>
  <conditionalFormatting sqref="H53">
    <cfRule type="expression" dxfId="2" priority="3">
      <formula>IF(OR($F53="L",$F53="C"),TRUE,FALSE)</formula>
    </cfRule>
  </conditionalFormatting>
  <conditionalFormatting sqref="H51">
    <cfRule type="expression" dxfId="1" priority="2">
      <formula>IF(OR($F51="L",$F51="C"),TRUE,FALSE)</formula>
    </cfRule>
  </conditionalFormatting>
  <conditionalFormatting sqref="H52">
    <cfRule type="expression" dxfId="0" priority="1">
      <formula>IF(OR($F52="L",$F52="C"),TRUE,FALSE)</formula>
    </cfRule>
  </conditionalFormatting>
  <dataValidations count="1">
    <dataValidation type="list" allowBlank="1" showInputMessage="1" showErrorMessage="1" sqref="G51:G52">
      <formula1>$C$83:$C$95</formula1>
    </dataValidation>
  </dataValidations>
  <hyperlinks>
    <hyperlink ref="D147" r:id="rId1"/>
  </hyperlinks>
  <pageMargins left="0.7" right="0.7" top="0.75" bottom="0.75" header="0.3" footer="0.3"/>
  <pageSetup orientation="portrait" r:id="rId2"/>
  <extLst>
    <ext xmlns:x14="http://schemas.microsoft.com/office/spreadsheetml/2009/9/main" uri="{78C0D931-6437-407d-A8EE-F0AAD7539E65}">
      <x14:conditionalFormattings>
        <x14:conditionalFormatting xmlns:xm="http://schemas.microsoft.com/office/excel/2006/main">
          <x14:cfRule type="dataBar" id="{245A3C7A-F333-41EB-A115-7A73C8B4DDC2}">
            <x14:dataBar minLength="0" maxLength="100" border="1" negativeBarBorderColorSameAsPositive="0">
              <x14:cfvo type="autoMin"/>
              <x14:cfvo type="autoMax"/>
              <x14:borderColor rgb="FF638EC6"/>
              <x14:negativeFillColor rgb="FFFF0000"/>
              <x14:negativeBorderColor rgb="FFFF0000"/>
              <x14:axisColor rgb="FF000000"/>
            </x14:dataBar>
          </x14:cfRule>
          <xm:sqref>G122:G129</xm:sqref>
        </x14:conditionalFormatting>
        <x14:conditionalFormatting xmlns:xm="http://schemas.microsoft.com/office/excel/2006/main">
          <x14:cfRule type="dataBar" id="{ADA14435-597C-4230-9182-74628B8BFA02}">
            <x14:dataBar minLength="0" maxLength="100" border="1" negativeBarBorderColorSameAsPositive="0">
              <x14:cfvo type="autoMin"/>
              <x14:cfvo type="autoMax"/>
              <x14:borderColor rgb="FF638EC6"/>
              <x14:negativeFillColor rgb="FFFF0000"/>
              <x14:negativeBorderColor rgb="FFFF0000"/>
              <x14:axisColor rgb="FF000000"/>
            </x14:dataBar>
          </x14:cfRule>
          <xm:sqref>D122:D126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Lookups!$B$3:$B$17</xm:f>
          </x14:formula1>
          <xm:sqref>D6:O6</xm:sqref>
        </x14:dataValidation>
        <x14:dataValidation type="list" allowBlank="1" showInputMessage="1" showErrorMessage="1">
          <x14:formula1>
            <xm:f>Lookups!$E$3:$E$16</xm:f>
          </x14:formula1>
          <xm:sqref>D7:O7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topLeftCell="A22" workbookViewId="0">
      <selection activeCell="L16" sqref="L16"/>
    </sheetView>
  </sheetViews>
  <sheetFormatPr defaultRowHeight="12.75" x14ac:dyDescent="0.2"/>
  <cols>
    <col min="1" max="1" width="12.28515625" bestFit="1" customWidth="1"/>
    <col min="2" max="2" width="10.42578125" bestFit="1" customWidth="1"/>
    <col min="3" max="3" width="10.140625" bestFit="1" customWidth="1"/>
    <col min="4" max="4" width="10.85546875" bestFit="1" customWidth="1"/>
    <col min="5" max="5" width="4.28515625" customWidth="1"/>
    <col min="6" max="6" width="5.28515625" customWidth="1"/>
    <col min="7" max="7" width="4.7109375" customWidth="1"/>
    <col min="8" max="8" width="6" customWidth="1"/>
    <col min="9" max="9" width="7.7109375" customWidth="1"/>
  </cols>
  <sheetData>
    <row r="1" spans="1:9" x14ac:dyDescent="0.2">
      <c r="A1" s="126" t="s">
        <v>220</v>
      </c>
    </row>
    <row r="2" spans="1:9" x14ac:dyDescent="0.2">
      <c r="A2" t="s">
        <v>221</v>
      </c>
    </row>
    <row r="3" spans="1:9" x14ac:dyDescent="0.2">
      <c r="A3" t="s">
        <v>222</v>
      </c>
    </row>
    <row r="5" spans="1:9" x14ac:dyDescent="0.2">
      <c r="A5" s="130" t="s">
        <v>223</v>
      </c>
      <c r="B5" s="131">
        <v>40892</v>
      </c>
      <c r="E5" s="130" t="s">
        <v>225</v>
      </c>
      <c r="F5" t="s">
        <v>280</v>
      </c>
    </row>
    <row r="6" spans="1:9" x14ac:dyDescent="0.2">
      <c r="A6" s="130" t="s">
        <v>224</v>
      </c>
      <c r="B6" s="132">
        <v>0.44236111111111115</v>
      </c>
      <c r="E6" s="130" t="s">
        <v>226</v>
      </c>
      <c r="F6" t="s">
        <v>227</v>
      </c>
    </row>
    <row r="8" spans="1:9" x14ac:dyDescent="0.2">
      <c r="E8" s="134" t="s">
        <v>25</v>
      </c>
      <c r="F8" s="134"/>
      <c r="G8" s="134"/>
    </row>
    <row r="9" spans="1:9" x14ac:dyDescent="0.2">
      <c r="B9" s="128" t="s">
        <v>228</v>
      </c>
      <c r="C9" s="134"/>
      <c r="D9" s="134"/>
      <c r="E9" s="128" t="s">
        <v>20</v>
      </c>
      <c r="F9" s="134"/>
      <c r="G9" s="134"/>
      <c r="I9" s="130" t="s">
        <v>229</v>
      </c>
    </row>
    <row r="10" spans="1:9" x14ac:dyDescent="0.2">
      <c r="A10" s="135" t="s">
        <v>230</v>
      </c>
      <c r="B10" s="59" t="s">
        <v>233</v>
      </c>
      <c r="C10" s="59" t="s">
        <v>234</v>
      </c>
      <c r="D10" s="66" t="s">
        <v>235</v>
      </c>
      <c r="E10" s="59" t="s">
        <v>91</v>
      </c>
      <c r="F10" s="59" t="s">
        <v>93</v>
      </c>
      <c r="G10" s="66" t="s">
        <v>92</v>
      </c>
      <c r="H10" s="59" t="s">
        <v>231</v>
      </c>
      <c r="I10" s="59" t="s">
        <v>232</v>
      </c>
    </row>
    <row r="11" spans="1:9" ht="13.5" thickBot="1" x14ac:dyDescent="0.25">
      <c r="A11" s="62" t="s">
        <v>211</v>
      </c>
      <c r="B11" s="109">
        <v>4</v>
      </c>
      <c r="C11" s="111">
        <v>60</v>
      </c>
      <c r="D11" s="133">
        <v>150</v>
      </c>
      <c r="E11" s="113">
        <v>-10.390779849999999</v>
      </c>
      <c r="F11" s="113">
        <v>42.507735749999995</v>
      </c>
      <c r="G11" s="114">
        <v>127.52320725000001</v>
      </c>
      <c r="H11" s="113">
        <v>137.91398710000001</v>
      </c>
      <c r="I11" s="57">
        <v>0.79870607857047482</v>
      </c>
    </row>
    <row r="12" spans="1:9" ht="13.5" thickBot="1" x14ac:dyDescent="0.25">
      <c r="A12" s="63" t="s">
        <v>207</v>
      </c>
      <c r="B12" s="106">
        <v>562.1</v>
      </c>
      <c r="C12" s="108">
        <v>938.05</v>
      </c>
      <c r="D12" s="136">
        <v>1825</v>
      </c>
      <c r="E12" s="113">
        <v>25.4715615</v>
      </c>
      <c r="F12" s="113">
        <v>42.507735749999995</v>
      </c>
      <c r="G12" s="115">
        <v>82.699875000000006</v>
      </c>
      <c r="H12" s="113">
        <v>57.228313500000006</v>
      </c>
      <c r="I12" s="57">
        <v>0.1375283575986323</v>
      </c>
    </row>
    <row r="13" spans="1:9" ht="13.5" thickBot="1" x14ac:dyDescent="0.25">
      <c r="A13" s="63" t="s">
        <v>159</v>
      </c>
      <c r="B13" s="60">
        <v>42</v>
      </c>
      <c r="C13" s="64">
        <v>15</v>
      </c>
      <c r="D13" s="133">
        <v>3</v>
      </c>
      <c r="E13" s="113">
        <v>17.003094299999997</v>
      </c>
      <c r="F13" s="113">
        <v>42.507735749999995</v>
      </c>
      <c r="G13" s="115">
        <v>53.84313195</v>
      </c>
      <c r="H13" s="113">
        <v>36.840037649999999</v>
      </c>
      <c r="I13" s="57">
        <v>5.6991553082458804E-2</v>
      </c>
    </row>
    <row r="14" spans="1:9" ht="13.5" thickBot="1" x14ac:dyDescent="0.25">
      <c r="A14" s="63" t="s">
        <v>111</v>
      </c>
      <c r="B14" s="110">
        <v>0.75</v>
      </c>
      <c r="C14" s="112">
        <v>0.95</v>
      </c>
      <c r="D14" s="103">
        <v>1</v>
      </c>
      <c r="E14" s="113">
        <v>33.558738749999996</v>
      </c>
      <c r="F14" s="113">
        <v>42.507735749999995</v>
      </c>
      <c r="G14" s="115">
        <v>44.744985</v>
      </c>
      <c r="H14" s="113">
        <v>11.186246250000003</v>
      </c>
      <c r="I14" s="57">
        <v>5.2545933565347896E-3</v>
      </c>
    </row>
    <row r="15" spans="1:9" ht="13.5" thickBot="1" x14ac:dyDescent="0.25">
      <c r="A15" s="63" t="s">
        <v>202</v>
      </c>
      <c r="B15" s="61">
        <v>1</v>
      </c>
      <c r="C15" s="65">
        <v>1.06</v>
      </c>
      <c r="D15" s="58">
        <v>1.1499999999999999</v>
      </c>
      <c r="E15" s="113">
        <v>40.101637499999995</v>
      </c>
      <c r="F15" s="113">
        <v>42.507735749999995</v>
      </c>
      <c r="G15" s="115">
        <v>46.116883124999994</v>
      </c>
      <c r="H15" s="113">
        <v>6.0152456249999986</v>
      </c>
      <c r="I15" s="57">
        <v>1.5194173918993872E-3</v>
      </c>
    </row>
    <row r="16" spans="1:9" ht="13.5" thickBot="1" x14ac:dyDescent="0.25">
      <c r="A16" s="63" t="s">
        <v>201</v>
      </c>
      <c r="B16" s="61">
        <v>1</v>
      </c>
      <c r="C16" s="65">
        <v>1.21</v>
      </c>
      <c r="D16" s="58">
        <v>1.3</v>
      </c>
      <c r="E16" s="113">
        <v>42.507735749999995</v>
      </c>
      <c r="F16" s="113">
        <v>42.507735749999995</v>
      </c>
      <c r="G16" s="115">
        <v>42.507735750000002</v>
      </c>
      <c r="H16" s="113">
        <v>7.1054273576010019E-15</v>
      </c>
      <c r="I16" s="57">
        <v>2.1200727746433364E-33</v>
      </c>
    </row>
    <row r="17" spans="1:9" ht="13.5" thickBot="1" x14ac:dyDescent="0.25">
      <c r="A17" s="63" t="s">
        <v>187</v>
      </c>
      <c r="B17" s="105">
        <v>7.1999999999999995E-2</v>
      </c>
      <c r="C17" s="107">
        <v>9.5000000000000001E-2</v>
      </c>
      <c r="D17" s="104">
        <v>0.184</v>
      </c>
      <c r="E17" s="113">
        <v>42.507735749999995</v>
      </c>
      <c r="F17" s="113">
        <v>42.507735749999995</v>
      </c>
      <c r="G17" s="115">
        <v>42.507735749999995</v>
      </c>
      <c r="H17" s="113">
        <v>0</v>
      </c>
      <c r="I17" s="57">
        <v>0</v>
      </c>
    </row>
    <row r="18" spans="1:9" ht="13.5" thickBot="1" x14ac:dyDescent="0.25">
      <c r="A18" s="63">
        <v>3.4129999999999998E-3</v>
      </c>
      <c r="B18" s="142">
        <v>3.4129999999999998E-3</v>
      </c>
      <c r="C18" s="145">
        <v>3.4129999999999998E-3</v>
      </c>
      <c r="D18" s="125">
        <v>3.4129999999999998E-3</v>
      </c>
      <c r="E18" s="113">
        <v>42.507735749999995</v>
      </c>
      <c r="F18" s="113">
        <v>42.507735749999995</v>
      </c>
      <c r="G18" s="115">
        <v>42.507735749999995</v>
      </c>
      <c r="H18" s="113">
        <v>0</v>
      </c>
      <c r="I18" s="57">
        <v>0</v>
      </c>
    </row>
    <row r="19" spans="1:9" ht="13.5" thickBot="1" x14ac:dyDescent="0.25">
      <c r="A19" s="63" t="s">
        <v>112</v>
      </c>
      <c r="B19" s="143">
        <v>0</v>
      </c>
      <c r="C19" s="146">
        <v>0.49</v>
      </c>
      <c r="D19" s="141">
        <v>0.5</v>
      </c>
      <c r="E19" s="113">
        <v>42.507735749999995</v>
      </c>
      <c r="F19" s="113">
        <v>42.507735749999995</v>
      </c>
      <c r="G19" s="115">
        <v>42.507735749999995</v>
      </c>
      <c r="H19" s="113">
        <v>0</v>
      </c>
      <c r="I19" s="57">
        <v>0</v>
      </c>
    </row>
    <row r="20" spans="1:9" ht="13.5" thickBot="1" x14ac:dyDescent="0.25">
      <c r="A20" s="63" t="s">
        <v>209</v>
      </c>
      <c r="B20" s="144">
        <v>0.65</v>
      </c>
      <c r="C20" s="147">
        <v>0.7</v>
      </c>
      <c r="D20" s="124">
        <v>0.75</v>
      </c>
      <c r="E20" s="113">
        <v>42.507735749999995</v>
      </c>
      <c r="F20" s="113">
        <v>42.507735749999995</v>
      </c>
      <c r="G20" s="115">
        <v>42.507735749999995</v>
      </c>
      <c r="H20" s="113">
        <v>0</v>
      </c>
      <c r="I20" s="57">
        <v>0</v>
      </c>
    </row>
  </sheetData>
  <sortState ref="A11:I20">
    <sortCondition descending="1" ref="H11"/>
  </sortState>
  <pageMargins left="0.7" right="0.7" top="0.75" bottom="0.75" header="0.3" footer="0.3"/>
  <pageSetup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topLeftCell="A19" workbookViewId="0">
      <selection activeCell="K17" sqref="K17"/>
    </sheetView>
  </sheetViews>
  <sheetFormatPr defaultRowHeight="12.75" x14ac:dyDescent="0.2"/>
  <cols>
    <col min="1" max="1" width="12.28515625" bestFit="1" customWidth="1"/>
    <col min="2" max="2" width="10.42578125" bestFit="1" customWidth="1"/>
    <col min="3" max="3" width="10.140625" bestFit="1" customWidth="1"/>
    <col min="4" max="4" width="10.85546875" bestFit="1" customWidth="1"/>
    <col min="5" max="5" width="6.140625" customWidth="1"/>
    <col min="6" max="7" width="5.5703125" customWidth="1"/>
    <col min="8" max="8" width="6" customWidth="1"/>
    <col min="9" max="9" width="7.7109375" customWidth="1"/>
  </cols>
  <sheetData>
    <row r="1" spans="1:9" x14ac:dyDescent="0.2">
      <c r="A1" s="126" t="s">
        <v>220</v>
      </c>
    </row>
    <row r="2" spans="1:9" x14ac:dyDescent="0.2">
      <c r="A2" t="s">
        <v>221</v>
      </c>
    </row>
    <row r="3" spans="1:9" x14ac:dyDescent="0.2">
      <c r="A3" t="s">
        <v>222</v>
      </c>
    </row>
    <row r="5" spans="1:9" x14ac:dyDescent="0.2">
      <c r="A5" s="130" t="s">
        <v>223</v>
      </c>
      <c r="B5" s="131">
        <v>40892</v>
      </c>
      <c r="E5" s="130" t="s">
        <v>225</v>
      </c>
      <c r="F5" t="s">
        <v>280</v>
      </c>
    </row>
    <row r="6" spans="1:9" x14ac:dyDescent="0.2">
      <c r="A6" s="130" t="s">
        <v>224</v>
      </c>
      <c r="B6" s="132">
        <v>0.44305555555555554</v>
      </c>
      <c r="E6" s="130" t="s">
        <v>226</v>
      </c>
      <c r="F6" t="s">
        <v>236</v>
      </c>
    </row>
    <row r="8" spans="1:9" x14ac:dyDescent="0.2">
      <c r="E8" s="134" t="s">
        <v>33</v>
      </c>
      <c r="F8" s="134"/>
      <c r="G8" s="134"/>
    </row>
    <row r="9" spans="1:9" x14ac:dyDescent="0.2">
      <c r="B9" s="128" t="s">
        <v>228</v>
      </c>
      <c r="C9" s="134"/>
      <c r="D9" s="134"/>
      <c r="E9" s="128" t="s">
        <v>20</v>
      </c>
      <c r="F9" s="134"/>
      <c r="G9" s="134"/>
      <c r="I9" s="130" t="s">
        <v>229</v>
      </c>
    </row>
    <row r="10" spans="1:9" x14ac:dyDescent="0.2">
      <c r="A10" s="135" t="s">
        <v>230</v>
      </c>
      <c r="B10" s="59" t="s">
        <v>233</v>
      </c>
      <c r="C10" s="59" t="s">
        <v>234</v>
      </c>
      <c r="D10" s="66" t="s">
        <v>235</v>
      </c>
      <c r="E10" s="59" t="s">
        <v>91</v>
      </c>
      <c r="F10" s="59" t="s">
        <v>93</v>
      </c>
      <c r="G10" s="66" t="s">
        <v>92</v>
      </c>
      <c r="H10" s="59" t="s">
        <v>231</v>
      </c>
      <c r="I10" s="59" t="s">
        <v>232</v>
      </c>
    </row>
    <row r="11" spans="1:9" ht="13.5" thickBot="1" x14ac:dyDescent="0.25">
      <c r="A11" s="62" t="s">
        <v>211</v>
      </c>
      <c r="B11" s="109">
        <v>4</v>
      </c>
      <c r="C11" s="111">
        <v>60</v>
      </c>
      <c r="D11" s="133">
        <v>150</v>
      </c>
      <c r="E11" s="67">
        <v>-1.2012275E-3</v>
      </c>
      <c r="F11" s="67">
        <v>4.9141124999999997E-3</v>
      </c>
      <c r="G11" s="68">
        <v>1.4742337500000001E-2</v>
      </c>
      <c r="H11" s="67">
        <v>1.5943565E-2</v>
      </c>
      <c r="I11" s="57">
        <v>0.82249406667221359</v>
      </c>
    </row>
    <row r="12" spans="1:9" ht="13.5" thickBot="1" x14ac:dyDescent="0.25">
      <c r="A12" s="63" t="s">
        <v>187</v>
      </c>
      <c r="B12" s="105">
        <v>7.1999999999999995E-2</v>
      </c>
      <c r="C12" s="107">
        <v>9.5000000000000001E-2</v>
      </c>
      <c r="D12" s="104">
        <v>0.184</v>
      </c>
      <c r="E12" s="67">
        <v>3.7243799999999994E-3</v>
      </c>
      <c r="F12" s="67">
        <v>4.9141124999999997E-3</v>
      </c>
      <c r="G12" s="69">
        <v>9.5178599999999995E-3</v>
      </c>
      <c r="H12" s="67">
        <v>5.7934800000000002E-3</v>
      </c>
      <c r="I12" s="57">
        <v>0.10860277550985022</v>
      </c>
    </row>
    <row r="13" spans="1:9" ht="13.5" thickBot="1" x14ac:dyDescent="0.25">
      <c r="A13" s="63" t="s">
        <v>159</v>
      </c>
      <c r="B13" s="60">
        <v>42</v>
      </c>
      <c r="C13" s="64">
        <v>15</v>
      </c>
      <c r="D13" s="133">
        <v>3</v>
      </c>
      <c r="E13" s="67">
        <v>1.9656449999999998E-3</v>
      </c>
      <c r="F13" s="67">
        <v>4.9141124999999997E-3</v>
      </c>
      <c r="G13" s="69">
        <v>6.2245424999999993E-3</v>
      </c>
      <c r="H13" s="67">
        <v>4.2588974999999991E-3</v>
      </c>
      <c r="I13" s="57">
        <v>5.8688941424678003E-2</v>
      </c>
    </row>
    <row r="14" spans="1:9" ht="13.5" thickBot="1" x14ac:dyDescent="0.25">
      <c r="A14" s="63" t="s">
        <v>111</v>
      </c>
      <c r="B14" s="110">
        <v>0.75</v>
      </c>
      <c r="C14" s="112">
        <v>0.95</v>
      </c>
      <c r="D14" s="103">
        <v>1</v>
      </c>
      <c r="E14" s="67">
        <v>3.8795624999999998E-3</v>
      </c>
      <c r="F14" s="67">
        <v>4.9141124999999997E-3</v>
      </c>
      <c r="G14" s="69">
        <v>5.1727500000000003E-3</v>
      </c>
      <c r="H14" s="67">
        <v>1.2931875000000005E-3</v>
      </c>
      <c r="I14" s="57">
        <v>5.4110917325937841E-3</v>
      </c>
    </row>
    <row r="15" spans="1:9" ht="13.5" thickBot="1" x14ac:dyDescent="0.25">
      <c r="A15" s="63" t="s">
        <v>201</v>
      </c>
      <c r="B15" s="61">
        <v>1</v>
      </c>
      <c r="C15" s="65">
        <v>1.21</v>
      </c>
      <c r="D15" s="58">
        <v>1.3</v>
      </c>
      <c r="E15" s="67">
        <v>4.0612499999999998E-3</v>
      </c>
      <c r="F15" s="67">
        <v>4.9141124999999997E-3</v>
      </c>
      <c r="G15" s="69">
        <v>5.2796249999999996E-3</v>
      </c>
      <c r="H15" s="67">
        <v>1.2183749999999998E-3</v>
      </c>
      <c r="I15" s="57">
        <v>4.8031246606644864E-3</v>
      </c>
    </row>
    <row r="16" spans="1:9" ht="13.5" thickBot="1" x14ac:dyDescent="0.25">
      <c r="A16" s="63" t="s">
        <v>207</v>
      </c>
      <c r="B16" s="106">
        <v>562.1</v>
      </c>
      <c r="C16" s="108">
        <v>938.05</v>
      </c>
      <c r="D16" s="136">
        <v>1825</v>
      </c>
      <c r="E16" s="67">
        <v>4.9141124999999997E-3</v>
      </c>
      <c r="F16" s="67">
        <v>4.9141124999999997E-3</v>
      </c>
      <c r="G16" s="69">
        <v>4.9141124999999997E-3</v>
      </c>
      <c r="H16" s="67">
        <v>0</v>
      </c>
      <c r="I16" s="57">
        <v>0</v>
      </c>
    </row>
    <row r="17" spans="1:9" ht="13.5" thickBot="1" x14ac:dyDescent="0.25">
      <c r="A17" s="63" t="s">
        <v>202</v>
      </c>
      <c r="B17" s="61">
        <v>1</v>
      </c>
      <c r="C17" s="65">
        <v>1.06</v>
      </c>
      <c r="D17" s="58">
        <v>1.1499999999999999</v>
      </c>
      <c r="E17" s="67">
        <v>4.9141124999999997E-3</v>
      </c>
      <c r="F17" s="67">
        <v>4.9141124999999997E-3</v>
      </c>
      <c r="G17" s="69">
        <v>4.9141124999999997E-3</v>
      </c>
      <c r="H17" s="67">
        <v>0</v>
      </c>
      <c r="I17" s="57">
        <v>0</v>
      </c>
    </row>
    <row r="18" spans="1:9" ht="13.5" thickBot="1" x14ac:dyDescent="0.25">
      <c r="A18" s="63">
        <v>3.4129999999999998E-3</v>
      </c>
      <c r="B18" s="142">
        <v>3.4129999999999998E-3</v>
      </c>
      <c r="C18" s="145">
        <v>3.4129999999999998E-3</v>
      </c>
      <c r="D18" s="125">
        <v>3.4129999999999998E-3</v>
      </c>
      <c r="E18" s="67">
        <v>4.9141124999999997E-3</v>
      </c>
      <c r="F18" s="67">
        <v>4.9141124999999997E-3</v>
      </c>
      <c r="G18" s="69">
        <v>4.9141124999999997E-3</v>
      </c>
      <c r="H18" s="67">
        <v>0</v>
      </c>
      <c r="I18" s="57">
        <v>0</v>
      </c>
    </row>
    <row r="19" spans="1:9" ht="13.5" thickBot="1" x14ac:dyDescent="0.25">
      <c r="A19" s="63" t="s">
        <v>112</v>
      </c>
      <c r="B19" s="143">
        <v>0</v>
      </c>
      <c r="C19" s="146">
        <v>0.49</v>
      </c>
      <c r="D19" s="141">
        <v>0.5</v>
      </c>
      <c r="E19" s="67">
        <v>4.9141124999999997E-3</v>
      </c>
      <c r="F19" s="67">
        <v>4.9141124999999997E-3</v>
      </c>
      <c r="G19" s="69">
        <v>4.9141124999999997E-3</v>
      </c>
      <c r="H19" s="67">
        <v>0</v>
      </c>
      <c r="I19" s="57">
        <v>0</v>
      </c>
    </row>
    <row r="20" spans="1:9" ht="13.5" thickBot="1" x14ac:dyDescent="0.25">
      <c r="A20" s="63" t="s">
        <v>209</v>
      </c>
      <c r="B20" s="144">
        <v>0.65</v>
      </c>
      <c r="C20" s="147">
        <v>0.7</v>
      </c>
      <c r="D20" s="124">
        <v>0.75</v>
      </c>
      <c r="E20" s="67">
        <v>4.9141124999999997E-3</v>
      </c>
      <c r="F20" s="67">
        <v>4.9141124999999997E-3</v>
      </c>
      <c r="G20" s="69">
        <v>4.9141124999999997E-3</v>
      </c>
      <c r="H20" s="67">
        <v>0</v>
      </c>
      <c r="I20" s="57">
        <v>0</v>
      </c>
    </row>
  </sheetData>
  <sortState ref="A11:I20">
    <sortCondition descending="1" ref="H11"/>
  </sortState>
  <pageMargins left="0.7" right="0.7" top="0.75" bottom="0.75" header="0.3" footer="0.3"/>
  <pageSetup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7"/>
  <sheetViews>
    <sheetView workbookViewId="0">
      <selection activeCell="B3" sqref="B3"/>
    </sheetView>
  </sheetViews>
  <sheetFormatPr defaultRowHeight="12.75" x14ac:dyDescent="0.2"/>
  <cols>
    <col min="2" max="2" width="26.5703125" bestFit="1" customWidth="1"/>
    <col min="5" max="5" width="26.7109375" bestFit="1" customWidth="1"/>
  </cols>
  <sheetData>
    <row r="2" spans="2:5" ht="23.25" x14ac:dyDescent="0.35">
      <c r="B2" s="39" t="s">
        <v>43</v>
      </c>
      <c r="E2" s="39" t="s">
        <v>147</v>
      </c>
    </row>
    <row r="3" spans="2:5" x14ac:dyDescent="0.2">
      <c r="B3" t="s">
        <v>21</v>
      </c>
      <c r="E3" t="s">
        <v>151</v>
      </c>
    </row>
    <row r="4" spans="2:5" x14ac:dyDescent="0.2">
      <c r="B4" t="s">
        <v>136</v>
      </c>
      <c r="E4" t="s">
        <v>155</v>
      </c>
    </row>
    <row r="5" spans="2:5" x14ac:dyDescent="0.2">
      <c r="B5" t="s">
        <v>133</v>
      </c>
      <c r="E5" t="s">
        <v>150</v>
      </c>
    </row>
    <row r="6" spans="2:5" x14ac:dyDescent="0.2">
      <c r="B6" t="s">
        <v>134</v>
      </c>
      <c r="E6" t="s">
        <v>30</v>
      </c>
    </row>
    <row r="7" spans="2:5" x14ac:dyDescent="0.2">
      <c r="B7" t="s">
        <v>135</v>
      </c>
      <c r="E7" t="s">
        <v>157</v>
      </c>
    </row>
    <row r="8" spans="2:5" x14ac:dyDescent="0.2">
      <c r="B8" t="s">
        <v>137</v>
      </c>
      <c r="E8" t="s">
        <v>156</v>
      </c>
    </row>
    <row r="9" spans="2:5" x14ac:dyDescent="0.2">
      <c r="B9" t="s">
        <v>138</v>
      </c>
      <c r="E9" t="s">
        <v>94</v>
      </c>
    </row>
    <row r="10" spans="2:5" x14ac:dyDescent="0.2">
      <c r="B10" t="s">
        <v>139</v>
      </c>
      <c r="E10" t="s">
        <v>130</v>
      </c>
    </row>
    <row r="11" spans="2:5" x14ac:dyDescent="0.2">
      <c r="B11" t="s">
        <v>140</v>
      </c>
      <c r="E11" t="s">
        <v>154</v>
      </c>
    </row>
    <row r="12" spans="2:5" x14ac:dyDescent="0.2">
      <c r="B12" t="s">
        <v>141</v>
      </c>
      <c r="E12" t="s">
        <v>131</v>
      </c>
    </row>
    <row r="13" spans="2:5" x14ac:dyDescent="0.2">
      <c r="B13" t="s">
        <v>142</v>
      </c>
      <c r="E13" t="s">
        <v>149</v>
      </c>
    </row>
    <row r="14" spans="2:5" x14ac:dyDescent="0.2">
      <c r="B14" t="s">
        <v>143</v>
      </c>
      <c r="E14" t="s">
        <v>148</v>
      </c>
    </row>
    <row r="15" spans="2:5" x14ac:dyDescent="0.2">
      <c r="B15" t="s">
        <v>144</v>
      </c>
      <c r="E15" t="s">
        <v>152</v>
      </c>
    </row>
    <row r="16" spans="2:5" x14ac:dyDescent="0.2">
      <c r="B16" t="s">
        <v>145</v>
      </c>
      <c r="E16" t="s">
        <v>153</v>
      </c>
    </row>
    <row r="17" spans="2:2" x14ac:dyDescent="0.2">
      <c r="B17" t="s">
        <v>146</v>
      </c>
    </row>
  </sheetData>
  <sortState ref="E3:E16">
    <sortCondition ref="E3"/>
  </sortSt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9"/>
  <sheetViews>
    <sheetView workbookViewId="0">
      <selection activeCell="K4" sqref="K4"/>
    </sheetView>
  </sheetViews>
  <sheetFormatPr defaultRowHeight="12.75" x14ac:dyDescent="0.2"/>
  <cols>
    <col min="2" max="2" width="3.5703125" customWidth="1"/>
    <col min="3" max="3" width="21.140625" customWidth="1"/>
  </cols>
  <sheetData>
    <row r="3" spans="2:11" x14ac:dyDescent="0.2">
      <c r="B3" s="214" t="s">
        <v>0</v>
      </c>
      <c r="C3" s="213" t="s">
        <v>116</v>
      </c>
      <c r="D3" s="212" t="s">
        <v>122</v>
      </c>
      <c r="E3" s="212"/>
      <c r="F3" s="212" t="s">
        <v>117</v>
      </c>
      <c r="G3" s="212"/>
      <c r="H3" s="212"/>
      <c r="I3" s="212"/>
    </row>
    <row r="4" spans="2:11" ht="25.5" x14ac:dyDescent="0.2">
      <c r="B4" s="214"/>
      <c r="C4" s="213"/>
      <c r="D4" s="36" t="s">
        <v>123</v>
      </c>
      <c r="E4" s="36" t="s">
        <v>124</v>
      </c>
      <c r="F4" s="36" t="s">
        <v>118</v>
      </c>
      <c r="G4" s="36" t="s">
        <v>119</v>
      </c>
      <c r="H4" s="36" t="s">
        <v>120</v>
      </c>
      <c r="I4" s="36" t="s">
        <v>121</v>
      </c>
      <c r="K4" s="38" t="s">
        <v>132</v>
      </c>
    </row>
    <row r="5" spans="2:11" x14ac:dyDescent="0.2">
      <c r="B5" s="35">
        <v>1</v>
      </c>
      <c r="C5" s="31" t="s">
        <v>125</v>
      </c>
      <c r="D5" s="37">
        <v>0.5</v>
      </c>
      <c r="E5" s="37">
        <v>0.7</v>
      </c>
      <c r="F5" s="37">
        <v>0.5</v>
      </c>
      <c r="G5" s="37">
        <v>0.1</v>
      </c>
      <c r="H5" s="37">
        <v>0.3</v>
      </c>
      <c r="I5" s="37">
        <v>0.1</v>
      </c>
    </row>
    <row r="6" spans="2:11" x14ac:dyDescent="0.2">
      <c r="B6" s="35">
        <v>2</v>
      </c>
      <c r="C6" s="31" t="s">
        <v>127</v>
      </c>
      <c r="D6" s="37">
        <v>1</v>
      </c>
      <c r="E6" s="37">
        <v>1</v>
      </c>
      <c r="F6" s="37">
        <v>0.5</v>
      </c>
      <c r="G6" s="37">
        <v>0.1</v>
      </c>
      <c r="H6" s="37">
        <v>0.3</v>
      </c>
      <c r="I6" s="37">
        <v>0.1</v>
      </c>
    </row>
    <row r="7" spans="2:11" x14ac:dyDescent="0.2">
      <c r="B7" s="35">
        <v>3</v>
      </c>
      <c r="C7" s="31" t="s">
        <v>128</v>
      </c>
      <c r="D7" s="37">
        <v>1.4999999999999999E-2</v>
      </c>
      <c r="E7" s="37">
        <v>0.72</v>
      </c>
      <c r="F7" s="37">
        <v>0.15</v>
      </c>
      <c r="G7" s="37">
        <v>2.5000000000000001E-2</v>
      </c>
      <c r="H7" s="37">
        <v>0.6</v>
      </c>
      <c r="I7" s="37">
        <v>0.17499999999999999</v>
      </c>
    </row>
    <row r="8" spans="2:11" x14ac:dyDescent="0.2">
      <c r="B8" s="35">
        <v>4</v>
      </c>
      <c r="C8" s="31" t="s">
        <v>129</v>
      </c>
      <c r="D8" s="37">
        <v>1</v>
      </c>
      <c r="E8" s="37">
        <v>0</v>
      </c>
      <c r="F8" s="37">
        <v>0.33</v>
      </c>
      <c r="G8" s="37">
        <v>0.37</v>
      </c>
      <c r="H8" s="37">
        <v>0.12</v>
      </c>
      <c r="I8" s="37">
        <v>0.18</v>
      </c>
    </row>
    <row r="9" spans="2:11" x14ac:dyDescent="0.2">
      <c r="B9" s="35">
        <v>5</v>
      </c>
      <c r="C9" s="31" t="s">
        <v>126</v>
      </c>
      <c r="D9" s="37">
        <v>1</v>
      </c>
      <c r="E9" s="37">
        <v>1</v>
      </c>
      <c r="F9" s="37">
        <v>0.32</v>
      </c>
      <c r="G9" s="37">
        <v>0.35</v>
      </c>
      <c r="H9" s="37">
        <v>0.16</v>
      </c>
      <c r="I9" s="37">
        <v>0.18</v>
      </c>
    </row>
  </sheetData>
  <mergeCells count="4">
    <mergeCell ref="D3:E3"/>
    <mergeCell ref="F3:I3"/>
    <mergeCell ref="C3:C4"/>
    <mergeCell ref="B3:B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SPCFL</vt:lpstr>
      <vt:lpstr>SensIt Tornado KWH</vt:lpstr>
      <vt:lpstr>SensIt Tornado kW</vt:lpstr>
      <vt:lpstr>Lookups</vt:lpstr>
      <vt:lpstr>Loadshapes</vt:lpstr>
      <vt:lpstr>'SensIt Tornado kW'!Print_Area</vt:lpstr>
      <vt:lpstr>'SensIt Tornado KWH'!Print_Area</vt:lpstr>
    </vt:vector>
  </TitlesOfParts>
  <Company>VEIC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senterline</dc:creator>
  <cp:lastModifiedBy>Samuel Dent</cp:lastModifiedBy>
  <dcterms:created xsi:type="dcterms:W3CDTF">2011-11-17T16:47:18Z</dcterms:created>
  <dcterms:modified xsi:type="dcterms:W3CDTF">2014-01-24T11:31:03Z</dcterms:modified>
</cp:coreProperties>
</file>