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45" yWindow="1320" windowWidth="15480" windowHeight="685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Sheet1!$B$49</definedName>
    <definedName name="_ftnref1" localSheetId="0">Sheet1!#REF!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L53" i="1" l="1"/>
  <c r="L54" i="1"/>
  <c r="L55" i="1"/>
  <c r="L56" i="1"/>
  <c r="L57" i="1"/>
  <c r="L52" i="1"/>
  <c r="J53" i="1"/>
  <c r="J54" i="1"/>
  <c r="J55" i="1"/>
  <c r="J56" i="1"/>
  <c r="J57" i="1"/>
  <c r="J52" i="1"/>
  <c r="I52" i="1"/>
  <c r="I53" i="1"/>
  <c r="I54" i="1"/>
  <c r="I55" i="1"/>
  <c r="I56" i="1"/>
  <c r="I57" i="1"/>
  <c r="E56" i="1" l="1"/>
  <c r="E55" i="1"/>
  <c r="E54" i="1"/>
  <c r="E52" i="1"/>
  <c r="F53" i="1"/>
  <c r="G53" i="1" l="1"/>
  <c r="G57" i="1" s="1"/>
  <c r="E33" i="1"/>
  <c r="I33" i="1" l="1"/>
  <c r="F30" i="1"/>
  <c r="F31" i="1"/>
  <c r="K35" i="1"/>
  <c r="I35" i="1"/>
  <c r="K34" i="1"/>
  <c r="I34" i="1"/>
  <c r="K33" i="1"/>
  <c r="F33" i="1" l="1"/>
  <c r="K36" i="1"/>
  <c r="I36" i="1"/>
  <c r="I37" i="1" s="1"/>
  <c r="I38" i="1" s="1"/>
  <c r="B30" i="1" s="1"/>
  <c r="B31" i="1" s="1"/>
  <c r="C32" i="1" s="1"/>
  <c r="F32" i="1" s="1"/>
  <c r="K37" i="1"/>
  <c r="K38" i="1" s="1"/>
  <c r="B36" i="1" s="1"/>
  <c r="B37" i="1" s="1"/>
  <c r="C38" i="1" s="1"/>
  <c r="F38" i="1" s="1"/>
  <c r="G52" i="1" l="1"/>
  <c r="G54" i="1"/>
  <c r="G56" i="1"/>
  <c r="G55" i="1"/>
  <c r="F52" i="1" l="1"/>
  <c r="F56" i="1"/>
  <c r="F57" i="1"/>
  <c r="F54" i="1"/>
  <c r="F55" i="1"/>
  <c r="K52" i="1" l="1"/>
  <c r="K53" i="1"/>
  <c r="K54" i="1"/>
  <c r="K55" i="1"/>
  <c r="K56" i="1"/>
  <c r="K57" i="1" l="1"/>
  <c r="N57" i="1" l="1"/>
</calcChain>
</file>

<file path=xl/sharedStrings.xml><?xml version="1.0" encoding="utf-8"?>
<sst xmlns="http://schemas.openxmlformats.org/spreadsheetml/2006/main" count="67" uniqueCount="63">
  <si>
    <t>Thus it comes down to whether the Capacity values uses is input or output capacity</t>
  </si>
  <si>
    <t>The fact that they are Dividing by AFUE to get heating load, indicates two things:</t>
  </si>
  <si>
    <t>1. The capacity utilized is the output capacity, or heat delivered, and</t>
  </si>
  <si>
    <t>Other interpretations would not be consistent with the equation used:</t>
  </si>
  <si>
    <t>1. If Capacity were input, then to get heat load you'd either</t>
  </si>
  <si>
    <t>a. multiply by EFLH and divide by 100,000 to get gas consumption, or</t>
  </si>
  <si>
    <t>b. multiply by EFLH and AFUE and dvide by 100,000 to get heating load</t>
  </si>
  <si>
    <t>Household Heat Load Determination (Summary)</t>
  </si>
  <si>
    <t>However, it is unclear whether that represents heat need, or fuel consumption</t>
  </si>
  <si>
    <t>The evalutation provides the equation below that let's us figure it out:</t>
  </si>
  <si>
    <t>2. They are using the term "heating load" to refer to gas consumption</t>
  </si>
  <si>
    <t>So with this new clearer understanding, Table 3-4 Provides most of the information we need.</t>
  </si>
  <si>
    <t>Below in blue are additional calculations of values not provided, but inferred from, Table 3-4</t>
  </si>
  <si>
    <t>Furnaces</t>
  </si>
  <si>
    <t>Determining the Proportional Weights</t>
  </si>
  <si>
    <t>Proportion</t>
  </si>
  <si>
    <t>AFUE</t>
  </si>
  <si>
    <t>Capacity</t>
  </si>
  <si>
    <t>heat load</t>
  </si>
  <si>
    <t>Boilers</t>
  </si>
  <si>
    <t>786*x/835 + 856*(1-x)/835</t>
  </si>
  <si>
    <t>1038*x/1301 + 1414*(1-x)/1301</t>
  </si>
  <si>
    <t>(Output)</t>
  </si>
  <si>
    <t>(Consumption)</t>
  </si>
  <si>
    <t>2. If Heating load isn't gas consumed, then AFUE should be in the numerator, but it isn't.</t>
  </si>
  <si>
    <t>Heat Load</t>
  </si>
  <si>
    <t>(Delivered to space)</t>
  </si>
  <si>
    <t>Here the individual and average values provided are used to determine the proportional make-up of the two tiers</t>
  </si>
  <si>
    <t>Then, the heating load delivered to the space is found by multiplying the average consumption by the average AFUE</t>
  </si>
  <si>
    <t>The average AFUE is found using the proportional weights.</t>
  </si>
  <si>
    <t>This is the average furnace household heating load for the area of the Evaluation; Chicago.</t>
  </si>
  <si>
    <t>To find the statewide average, and other climate zone values, a linear adjustment is made based upon HDD</t>
  </si>
  <si>
    <t>City</t>
  </si>
  <si>
    <t>HDD</t>
  </si>
  <si>
    <t>Rockford</t>
  </si>
  <si>
    <t>Chicago</t>
  </si>
  <si>
    <t>Springfield</t>
  </si>
  <si>
    <t>Belleville</t>
  </si>
  <si>
    <t>Marion</t>
  </si>
  <si>
    <t>Weighted Average</t>
  </si>
  <si>
    <t>Factor</t>
  </si>
  <si>
    <t>Chicago-based, HDD Adjustment, in Therms</t>
  </si>
  <si>
    <t>R29, a billing data-based evaulation of Furnace and boiler savings, provides  values for Heating Load.</t>
  </si>
  <si>
    <t>Solving for x, as the proportion of 93% AFUE furnaces, or 92% Boilers</t>
  </si>
  <si>
    <t>Evaluation Proportion</t>
  </si>
  <si>
    <t>Actual</t>
  </si>
  <si>
    <t>Consumption</t>
  </si>
  <si>
    <t>Load</t>
  </si>
  <si>
    <t>Unknown:</t>
  </si>
  <si>
    <t>Tstats 
(heat consumption - existing system - 83% AFUE)</t>
  </si>
  <si>
    <t xml:space="preserve">11/2013  - Values updated per 2013 Navigant metering study for Nicor. </t>
  </si>
  <si>
    <t>http://portal.veic.org/projects/illinoistrm/Lists/TRM%20Request%20Tracker/Attachments/154/Nior%20Gas%20PY1%20Furnance%20Study%20Metering%20Report%20DRAFT%202013-08-01.docx</t>
  </si>
  <si>
    <t>Average Heat Load</t>
  </si>
  <si>
    <t>Electric Heat Consumption</t>
  </si>
  <si>
    <t>Heat Load (therms per year)</t>
  </si>
  <si>
    <t>Resistance (100%)</t>
  </si>
  <si>
    <t>HP (200%)</t>
  </si>
  <si>
    <t>(assumes half resistance and half HP)</t>
  </si>
  <si>
    <t>Electric Heat Load ASHP (kWh per year)</t>
  </si>
  <si>
    <t>Electric Heat Load Resistance* (kWh per year)</t>
  </si>
  <si>
    <t xml:space="preserve">Resistance load is reduced by 15% to acount for </t>
  </si>
  <si>
    <t>distribution losses that occur in furnace heating but not in electric resistance.</t>
  </si>
  <si>
    <t>ASHP assumed to suffer from similar distribution losses.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</si>
</sst>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1"/>
      <name val="Palatino Linotype"/>
      <family val="1"/>
    </font>
    <font>
      <b/>
      <sz val="11"/>
      <name val="Palatino Linotype"/>
      <family val="1"/>
    </font>
    <font>
      <i/>
      <sz val="9"/>
      <name val="Arial"/>
      <family val="2"/>
    </font>
    <font>
      <i/>
      <sz val="11"/>
      <color theme="1"/>
      <name val="Calibri"/>
      <family val="2"/>
      <scheme val="minor"/>
    </font>
    <font>
      <sz val="10"/>
      <name val="Garamond"/>
      <family val="1"/>
    </font>
    <font>
      <b/>
      <sz val="10"/>
      <name val="Garamond"/>
      <family val="1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9" fontId="4" fillId="2" borderId="0" xfId="0" applyNumberFormat="1" applyFont="1" applyFill="1" applyAlignment="1">
      <alignment horizontal="center"/>
    </xf>
    <xf numFmtId="9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164" fontId="6" fillId="0" borderId="0" xfId="2" applyNumberFormat="1" applyFont="1" applyFill="1" applyBorder="1" applyAlignment="1">
      <alignment horizontal="center" vertical="center"/>
    </xf>
    <xf numFmtId="0" fontId="9" fillId="2" borderId="0" xfId="0" applyFont="1" applyFill="1"/>
    <xf numFmtId="0" fontId="3" fillId="0" borderId="0" xfId="0" applyFont="1" applyFill="1" applyAlignment="1">
      <alignment horizontal="center"/>
    </xf>
    <xf numFmtId="3" fontId="10" fillId="0" borderId="11" xfId="0" applyNumberFormat="1" applyFont="1" applyBorder="1"/>
    <xf numFmtId="9" fontId="12" fillId="0" borderId="0" xfId="0" applyNumberFormat="1" applyFont="1" applyAlignment="1">
      <alignment horizontal="center"/>
    </xf>
    <xf numFmtId="0" fontId="13" fillId="0" borderId="0" xfId="0" applyFont="1"/>
    <xf numFmtId="10" fontId="0" fillId="4" borderId="0" xfId="0" applyNumberFormat="1" applyFill="1"/>
    <xf numFmtId="1" fontId="4" fillId="4" borderId="0" xfId="0" applyNumberFormat="1" applyFont="1" applyFill="1" applyBorder="1" applyAlignment="1">
      <alignment horizontal="center"/>
    </xf>
    <xf numFmtId="3" fontId="10" fillId="4" borderId="1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/>
    </xf>
    <xf numFmtId="0" fontId="15" fillId="0" borderId="0" xfId="0" applyFont="1"/>
    <xf numFmtId="0" fontId="16" fillId="0" borderId="0" xfId="3"/>
    <xf numFmtId="10" fontId="0" fillId="0" borderId="0" xfId="0" applyNumberFormat="1"/>
    <xf numFmtId="0" fontId="10" fillId="0" borderId="11" xfId="0" applyFont="1" applyBorder="1"/>
    <xf numFmtId="0" fontId="11" fillId="0" borderId="11" xfId="0" applyFont="1" applyBorder="1"/>
    <xf numFmtId="3" fontId="11" fillId="0" borderId="11" xfId="0" applyNumberFormat="1" applyFont="1" applyBorder="1"/>
    <xf numFmtId="43" fontId="10" fillId="0" borderId="11" xfId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43" fontId="11" fillId="0" borderId="11" xfId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0" fontId="10" fillId="3" borderId="11" xfId="0" applyFont="1" applyFill="1" applyBorder="1"/>
    <xf numFmtId="0" fontId="1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9" fontId="4" fillId="0" borderId="8" xfId="2" applyFont="1" applyFill="1" applyBorder="1" applyAlignment="1">
      <alignment horizontal="center"/>
    </xf>
    <xf numFmtId="9" fontId="4" fillId="0" borderId="9" xfId="2" applyFont="1" applyFill="1" applyBorder="1" applyAlignment="1">
      <alignment horizontal="center"/>
    </xf>
    <xf numFmtId="9" fontId="4" fillId="0" borderId="10" xfId="2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ortal.veic.org/projects/illinoistrm/Lists/TRM%20Request%20Tracker/Attachments/154/Nior%20Gas%20PY1%20Furnance%20Study%20Metering%20Report%20DRAFT%202013-08-01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workbookViewId="0">
      <selection activeCell="K52" sqref="K52:K57"/>
    </sheetView>
  </sheetViews>
  <sheetFormatPr defaultRowHeight="15" x14ac:dyDescent="0.25"/>
  <cols>
    <col min="2" max="2" width="9.140625" customWidth="1"/>
    <col min="5" max="5" width="12.5703125" customWidth="1"/>
    <col min="6" max="6" width="18.140625" customWidth="1"/>
    <col min="7" max="7" width="10.5703125" bestFit="1" customWidth="1"/>
    <col min="8" max="8" width="11.85546875" customWidth="1"/>
  </cols>
  <sheetData>
    <row r="1" spans="2:2" ht="21" x14ac:dyDescent="0.35">
      <c r="B1" s="27" t="s">
        <v>7</v>
      </c>
    </row>
    <row r="3" spans="2:2" hidden="1" x14ac:dyDescent="0.25">
      <c r="B3" t="s">
        <v>42</v>
      </c>
    </row>
    <row r="4" spans="2:2" hidden="1" x14ac:dyDescent="0.25">
      <c r="B4" t="s">
        <v>8</v>
      </c>
    </row>
    <row r="5" spans="2:2" hidden="1" x14ac:dyDescent="0.25">
      <c r="B5" t="s">
        <v>9</v>
      </c>
    </row>
    <row r="6" spans="2:2" hidden="1" x14ac:dyDescent="0.25"/>
    <row r="7" spans="2:2" hidden="1" x14ac:dyDescent="0.25"/>
    <row r="8" spans="2:2" hidden="1" x14ac:dyDescent="0.25"/>
    <row r="9" spans="2:2" hidden="1" x14ac:dyDescent="0.25"/>
    <row r="10" spans="2:2" hidden="1" x14ac:dyDescent="0.25"/>
    <row r="11" spans="2:2" hidden="1" x14ac:dyDescent="0.25"/>
    <row r="12" spans="2:2" hidden="1" x14ac:dyDescent="0.25"/>
    <row r="13" spans="2:2" hidden="1" x14ac:dyDescent="0.25">
      <c r="B13" t="s">
        <v>0</v>
      </c>
    </row>
    <row r="14" spans="2:2" hidden="1" x14ac:dyDescent="0.25">
      <c r="B14" t="s">
        <v>1</v>
      </c>
    </row>
    <row r="15" spans="2:2" hidden="1" x14ac:dyDescent="0.25">
      <c r="B15" s="1" t="s">
        <v>2</v>
      </c>
    </row>
    <row r="16" spans="2:2" hidden="1" x14ac:dyDescent="0.25">
      <c r="B16" s="1" t="s">
        <v>10</v>
      </c>
    </row>
    <row r="17" spans="1:13" hidden="1" x14ac:dyDescent="0.25">
      <c r="B17" s="1"/>
    </row>
    <row r="18" spans="1:13" x14ac:dyDescent="0.25">
      <c r="B18" s="33" t="s">
        <v>50</v>
      </c>
      <c r="H18" s="34" t="s">
        <v>51</v>
      </c>
    </row>
    <row r="19" spans="1:13" hidden="1" x14ac:dyDescent="0.25">
      <c r="B19" t="s">
        <v>3</v>
      </c>
    </row>
    <row r="20" spans="1:13" hidden="1" x14ac:dyDescent="0.25">
      <c r="B20" t="s">
        <v>4</v>
      </c>
    </row>
    <row r="21" spans="1:13" hidden="1" x14ac:dyDescent="0.25">
      <c r="C21" t="s">
        <v>5</v>
      </c>
    </row>
    <row r="22" spans="1:13" hidden="1" x14ac:dyDescent="0.25">
      <c r="C22" t="s">
        <v>6</v>
      </c>
    </row>
    <row r="23" spans="1:13" hidden="1" x14ac:dyDescent="0.25">
      <c r="B23" t="s">
        <v>24</v>
      </c>
    </row>
    <row r="24" spans="1:13" hidden="1" x14ac:dyDescent="0.25"/>
    <row r="25" spans="1:13" hidden="1" x14ac:dyDescent="0.25">
      <c r="B25" t="s">
        <v>11</v>
      </c>
    </row>
    <row r="26" spans="1:13" ht="18" hidden="1" customHeight="1" x14ac:dyDescent="0.25">
      <c r="B26" s="19" t="s">
        <v>12</v>
      </c>
      <c r="C26" s="19"/>
      <c r="D26" s="19"/>
      <c r="E26" s="19"/>
      <c r="F26" s="19"/>
      <c r="G26" s="19"/>
      <c r="H26" s="19"/>
      <c r="I26" s="19"/>
      <c r="J26" s="19"/>
    </row>
    <row r="27" spans="1:13" hidden="1" x14ac:dyDescent="0.25"/>
    <row r="28" spans="1:13" ht="15.75" hidden="1" thickBot="1" x14ac:dyDescent="0.3">
      <c r="B28" s="2" t="s">
        <v>13</v>
      </c>
      <c r="C28" s="3"/>
      <c r="D28" s="24" t="s">
        <v>17</v>
      </c>
      <c r="E28" s="46" t="s">
        <v>25</v>
      </c>
      <c r="F28" s="46"/>
    </row>
    <row r="29" spans="1:13" ht="15.75" hidden="1" thickBot="1" x14ac:dyDescent="0.3">
      <c r="A29" t="s">
        <v>45</v>
      </c>
      <c r="B29" s="6" t="s">
        <v>44</v>
      </c>
      <c r="C29" s="6" t="s">
        <v>16</v>
      </c>
      <c r="D29" s="20" t="s">
        <v>22</v>
      </c>
      <c r="E29" s="21" t="s">
        <v>23</v>
      </c>
      <c r="F29" s="23" t="s">
        <v>26</v>
      </c>
      <c r="I29" s="56" t="s">
        <v>14</v>
      </c>
      <c r="J29" s="57"/>
      <c r="K29" s="57"/>
      <c r="L29" s="58"/>
    </row>
    <row r="30" spans="1:13" ht="17.25" hidden="1" thickBot="1" x14ac:dyDescent="0.3">
      <c r="A30" s="28">
        <v>9.2999999999999999E-2</v>
      </c>
      <c r="B30" s="8">
        <f>I38</f>
        <v>0.30000000000000004</v>
      </c>
      <c r="C30" s="9">
        <v>0.93</v>
      </c>
      <c r="D30" s="10">
        <v>84375</v>
      </c>
      <c r="E30" s="11">
        <v>786</v>
      </c>
      <c r="F30" s="16">
        <f>E30*C30</f>
        <v>730.98</v>
      </c>
      <c r="G30" s="22"/>
      <c r="I30" s="59" t="s">
        <v>13</v>
      </c>
      <c r="J30" s="60"/>
      <c r="K30" s="59" t="s">
        <v>19</v>
      </c>
      <c r="L30" s="60"/>
    </row>
    <row r="31" spans="1:13" ht="16.5" hidden="1" x14ac:dyDescent="0.25">
      <c r="A31" s="28">
        <v>0.90700000000000003</v>
      </c>
      <c r="B31" s="8">
        <f>1-B30</f>
        <v>0.7</v>
      </c>
      <c r="C31" s="9">
        <v>0.95</v>
      </c>
      <c r="D31" s="10">
        <v>81676</v>
      </c>
      <c r="E31" s="11">
        <v>856</v>
      </c>
      <c r="F31" s="16">
        <f>E31*C31</f>
        <v>813.19999999999993</v>
      </c>
      <c r="G31" s="22"/>
      <c r="I31" s="61" t="s">
        <v>20</v>
      </c>
      <c r="J31" s="62"/>
      <c r="K31" s="62" t="s">
        <v>21</v>
      </c>
      <c r="L31" s="65"/>
      <c r="M31" s="67" t="s">
        <v>43</v>
      </c>
    </row>
    <row r="32" spans="1:13" hidden="1" x14ac:dyDescent="0.25">
      <c r="B32" s="6"/>
      <c r="C32" s="13">
        <f>B30*C30+B31*C31</f>
        <v>0.94399999999999995</v>
      </c>
      <c r="D32" s="14">
        <v>82486</v>
      </c>
      <c r="E32" s="15">
        <v>835</v>
      </c>
      <c r="F32" s="16">
        <f>E32*C32</f>
        <v>788.24</v>
      </c>
      <c r="I32" s="63"/>
      <c r="J32" s="64"/>
      <c r="K32" s="64"/>
      <c r="L32" s="66"/>
      <c r="M32" s="68"/>
    </row>
    <row r="33" spans="2:14" hidden="1" x14ac:dyDescent="0.25">
      <c r="B33" s="4"/>
      <c r="C33" s="4"/>
      <c r="D33" s="4"/>
      <c r="E33" s="29">
        <f>E30*$A$30+E31*$A$31</f>
        <v>849.49</v>
      </c>
      <c r="F33" s="29">
        <f>F30*$A$30+F31*$A$31</f>
        <v>805.55354</v>
      </c>
      <c r="I33" s="47">
        <f>835-856</f>
        <v>-21</v>
      </c>
      <c r="J33" s="48"/>
      <c r="K33" s="48">
        <f>1301-1414</f>
        <v>-113</v>
      </c>
      <c r="L33" s="49"/>
      <c r="M33" s="68"/>
    </row>
    <row r="34" spans="2:14" hidden="1" x14ac:dyDescent="0.25">
      <c r="B34" s="2" t="s">
        <v>19</v>
      </c>
      <c r="C34" s="3"/>
      <c r="D34" s="4"/>
      <c r="E34" s="5"/>
      <c r="I34" s="47">
        <f>-856/835</f>
        <v>-1.0251497005988024</v>
      </c>
      <c r="J34" s="48"/>
      <c r="K34" s="48">
        <f>-1414/1301</f>
        <v>-1.0868562644119908</v>
      </c>
      <c r="L34" s="49"/>
      <c r="M34" s="68"/>
    </row>
    <row r="35" spans="2:14" hidden="1" x14ac:dyDescent="0.25">
      <c r="B35" s="6" t="s">
        <v>15</v>
      </c>
      <c r="C35" s="6" t="s">
        <v>16</v>
      </c>
      <c r="D35" s="6" t="s">
        <v>17</v>
      </c>
      <c r="E35" s="6" t="s">
        <v>18</v>
      </c>
      <c r="F35" s="7"/>
      <c r="I35" s="50">
        <f>786/835</f>
        <v>0.94131736526946108</v>
      </c>
      <c r="J35" s="51"/>
      <c r="K35" s="51">
        <f>1038/1301</f>
        <v>0.79784780937740196</v>
      </c>
      <c r="L35" s="52"/>
      <c r="M35" s="68"/>
    </row>
    <row r="36" spans="2:14" ht="17.25" hidden="1" x14ac:dyDescent="0.25">
      <c r="B36" s="8">
        <f>K38</f>
        <v>0.46825391769652175</v>
      </c>
      <c r="C36" s="17">
        <v>0.92</v>
      </c>
      <c r="D36" s="18">
        <v>176333</v>
      </c>
      <c r="E36" s="3">
        <v>1038</v>
      </c>
      <c r="F36" s="12"/>
      <c r="I36" s="53">
        <f>I35+I34</f>
        <v>-8.3832335329341312E-2</v>
      </c>
      <c r="J36" s="54"/>
      <c r="K36" s="54">
        <f>K35+K34</f>
        <v>-0.28900845503458883</v>
      </c>
      <c r="L36" s="55"/>
      <c r="M36" s="68"/>
    </row>
    <row r="37" spans="2:14" ht="16.5" hidden="1" x14ac:dyDescent="0.25">
      <c r="B37" s="8">
        <f>1-B36</f>
        <v>0.53174608230347831</v>
      </c>
      <c r="C37" s="17">
        <v>0.95</v>
      </c>
      <c r="D37" s="18">
        <v>143571</v>
      </c>
      <c r="E37" s="3">
        <v>1414</v>
      </c>
      <c r="F37" s="11"/>
      <c r="I37" s="70">
        <f>I33/I36</f>
        <v>250.50000000000003</v>
      </c>
      <c r="J37" s="71"/>
      <c r="K37" s="71">
        <f>K33/K36</f>
        <v>390.99202127659566</v>
      </c>
      <c r="L37" s="72"/>
      <c r="M37" s="68"/>
    </row>
    <row r="38" spans="2:14" ht="15.75" hidden="1" thickBot="1" x14ac:dyDescent="0.3">
      <c r="B38" s="6"/>
      <c r="C38" s="13">
        <f>B36*C36+B37*C37</f>
        <v>0.93595238246910439</v>
      </c>
      <c r="D38" s="18">
        <v>153400</v>
      </c>
      <c r="E38" s="18">
        <v>1301</v>
      </c>
      <c r="F38" s="16">
        <f>E38*C38</f>
        <v>1217.6740495923048</v>
      </c>
      <c r="I38" s="73">
        <f>I37/835</f>
        <v>0.30000000000000004</v>
      </c>
      <c r="J38" s="74"/>
      <c r="K38" s="74">
        <f>K37/835</f>
        <v>0.46825391769652175</v>
      </c>
      <c r="L38" s="75"/>
      <c r="M38" s="69"/>
    </row>
    <row r="39" spans="2:14" hidden="1" x14ac:dyDescent="0.25"/>
    <row r="40" spans="2:14" hidden="1" x14ac:dyDescent="0.25">
      <c r="B40" t="s">
        <v>27</v>
      </c>
    </row>
    <row r="41" spans="2:14" hidden="1" x14ac:dyDescent="0.25">
      <c r="B41" t="s">
        <v>29</v>
      </c>
    </row>
    <row r="42" spans="2:14" hidden="1" x14ac:dyDescent="0.25">
      <c r="B42" t="s">
        <v>28</v>
      </c>
    </row>
    <row r="43" spans="2:14" hidden="1" x14ac:dyDescent="0.25">
      <c r="B43" t="s">
        <v>30</v>
      </c>
    </row>
    <row r="44" spans="2:14" hidden="1" x14ac:dyDescent="0.25">
      <c r="B44" t="s">
        <v>31</v>
      </c>
      <c r="J44" s="45" t="s">
        <v>47</v>
      </c>
      <c r="K44" s="45"/>
      <c r="M44" s="45" t="s">
        <v>46</v>
      </c>
      <c r="N44" s="45"/>
    </row>
    <row r="45" spans="2:14" x14ac:dyDescent="0.25">
      <c r="J45" s="32"/>
      <c r="K45" s="32"/>
      <c r="M45" s="32"/>
      <c r="N45" s="32"/>
    </row>
    <row r="46" spans="2:14" x14ac:dyDescent="0.25">
      <c r="B46" t="s">
        <v>52</v>
      </c>
      <c r="D46">
        <v>834</v>
      </c>
      <c r="J46" s="32"/>
      <c r="K46" s="32"/>
      <c r="M46" s="32"/>
      <c r="N46" s="32"/>
    </row>
    <row r="47" spans="2:14" x14ac:dyDescent="0.25">
      <c r="E47" s="35"/>
      <c r="J47" s="32"/>
      <c r="K47" s="32"/>
      <c r="M47" s="32"/>
      <c r="N47" s="32"/>
    </row>
    <row r="48" spans="2:14" x14ac:dyDescent="0.25">
      <c r="J48" s="32"/>
      <c r="K48" s="32"/>
      <c r="M48" s="32"/>
      <c r="N48" s="32"/>
    </row>
    <row r="49" spans="2:14" x14ac:dyDescent="0.25">
      <c r="E49" t="s">
        <v>41</v>
      </c>
      <c r="I49" s="26"/>
      <c r="K49" s="26">
        <v>1</v>
      </c>
      <c r="L49" s="26">
        <v>2</v>
      </c>
    </row>
    <row r="50" spans="2:14" ht="78" customHeight="1" x14ac:dyDescent="0.25">
      <c r="B50" s="77" t="s">
        <v>32</v>
      </c>
      <c r="C50" s="77" t="s">
        <v>33</v>
      </c>
      <c r="E50" s="77" t="s">
        <v>40</v>
      </c>
      <c r="F50" s="76" t="s">
        <v>54</v>
      </c>
      <c r="G50" s="76" t="s">
        <v>49</v>
      </c>
      <c r="I50" s="76" t="s">
        <v>59</v>
      </c>
      <c r="J50" s="76" t="s">
        <v>58</v>
      </c>
      <c r="K50" s="77" t="s">
        <v>53</v>
      </c>
      <c r="L50" s="77"/>
    </row>
    <row r="51" spans="2:14" x14ac:dyDescent="0.25">
      <c r="B51" s="77"/>
      <c r="C51" s="77"/>
      <c r="E51" s="77"/>
      <c r="F51" s="76"/>
      <c r="G51" s="76"/>
      <c r="I51" s="76"/>
      <c r="J51" s="76"/>
      <c r="K51" s="43" t="s">
        <v>55</v>
      </c>
      <c r="L51" s="43" t="s">
        <v>56</v>
      </c>
    </row>
    <row r="52" spans="2:14" x14ac:dyDescent="0.25">
      <c r="B52" s="36" t="s">
        <v>34</v>
      </c>
      <c r="C52" s="25">
        <v>5352</v>
      </c>
      <c r="E52" s="39">
        <f>C52/$C$53</f>
        <v>1.0467435947584589</v>
      </c>
      <c r="F52" s="40">
        <f>$F$53*E52</f>
        <v>872.9841580285547</v>
      </c>
      <c r="G52" s="40">
        <f>$G$53*E52</f>
        <v>1051.788142203078</v>
      </c>
      <c r="I52" s="25">
        <f>(F52*(1-0.15))/0.03413</f>
        <v>21741.474782428111</v>
      </c>
      <c r="J52" s="25">
        <f>F52/0.03413</f>
        <v>25578.205626386014</v>
      </c>
      <c r="K52" s="25">
        <f t="shared" ref="K52:K57" si="0">I52/K$49</f>
        <v>21741.474782428111</v>
      </c>
      <c r="L52" s="25">
        <f>J52/$L$49</f>
        <v>12789.102813193007</v>
      </c>
    </row>
    <row r="53" spans="2:14" x14ac:dyDescent="0.25">
      <c r="B53" s="36" t="s">
        <v>35</v>
      </c>
      <c r="C53" s="25">
        <v>5113</v>
      </c>
      <c r="E53" s="39">
        <v>1</v>
      </c>
      <c r="F53" s="30">
        <f>D46</f>
        <v>834</v>
      </c>
      <c r="G53" s="30">
        <f>F53/0.83</f>
        <v>1004.8192771084338</v>
      </c>
      <c r="I53" s="25">
        <f t="shared" ref="I53:I57" si="1">(F53*(1-0.15))/0.03413</f>
        <v>20770.583064752416</v>
      </c>
      <c r="J53" s="25">
        <f t="shared" ref="J53:J57" si="2">F53/0.03413</f>
        <v>24435.980076179312</v>
      </c>
      <c r="K53" s="25">
        <f t="shared" si="0"/>
        <v>20770.583064752416</v>
      </c>
      <c r="L53" s="25">
        <f t="shared" ref="L53:L57" si="3">J53/$L$49</f>
        <v>12217.990038089656</v>
      </c>
    </row>
    <row r="54" spans="2:14" x14ac:dyDescent="0.25">
      <c r="B54" s="36" t="s">
        <v>36</v>
      </c>
      <c r="C54" s="25">
        <v>4379</v>
      </c>
      <c r="E54" s="39">
        <f>C54/$C$53</f>
        <v>0.85644435752004688</v>
      </c>
      <c r="F54" s="40">
        <f>$F$53*E54</f>
        <v>714.27459417171906</v>
      </c>
      <c r="G54" s="40">
        <f>$G$53*E54</f>
        <v>860.57180020689054</v>
      </c>
      <c r="I54" s="25">
        <f t="shared" si="1"/>
        <v>17788.848668208651</v>
      </c>
      <c r="J54" s="25">
        <f t="shared" si="2"/>
        <v>20928.057256716056</v>
      </c>
      <c r="K54" s="25">
        <f t="shared" si="0"/>
        <v>17788.848668208651</v>
      </c>
      <c r="L54" s="25">
        <f t="shared" si="3"/>
        <v>10464.028628358028</v>
      </c>
    </row>
    <row r="55" spans="2:14" x14ac:dyDescent="0.25">
      <c r="B55" s="36" t="s">
        <v>37</v>
      </c>
      <c r="C55" s="25">
        <v>3378</v>
      </c>
      <c r="E55" s="39">
        <f>C55/$C$53</f>
        <v>0.66066888323880302</v>
      </c>
      <c r="F55" s="40">
        <f>$F$53*E55</f>
        <v>550.99784862116167</v>
      </c>
      <c r="G55" s="40">
        <f>$G$53*E55</f>
        <v>663.85282966405032</v>
      </c>
      <c r="I55" s="25">
        <f t="shared" si="1"/>
        <v>13722.477917608772</v>
      </c>
      <c r="J55" s="25">
        <f t="shared" si="2"/>
        <v>16144.091667775027</v>
      </c>
      <c r="K55" s="25">
        <f t="shared" si="0"/>
        <v>13722.477917608772</v>
      </c>
      <c r="L55" s="25">
        <f t="shared" si="3"/>
        <v>8072.0458338875133</v>
      </c>
    </row>
    <row r="56" spans="2:14" x14ac:dyDescent="0.25">
      <c r="B56" s="36" t="s">
        <v>38</v>
      </c>
      <c r="C56" s="25">
        <v>3438</v>
      </c>
      <c r="E56" s="39">
        <f>C56/$C$53</f>
        <v>0.67240367690201452</v>
      </c>
      <c r="F56" s="40">
        <f>$F$53*E56</f>
        <v>560.78466653628016</v>
      </c>
      <c r="G56" s="40">
        <f>$G$53*E56</f>
        <v>675.64417654973511</v>
      </c>
      <c r="I56" s="25">
        <f t="shared" si="1"/>
        <v>13966.21642413824</v>
      </c>
      <c r="J56" s="25">
        <f t="shared" si="2"/>
        <v>16430.84285192734</v>
      </c>
      <c r="K56" s="25">
        <f t="shared" si="0"/>
        <v>13966.21642413824</v>
      </c>
      <c r="L56" s="25">
        <f t="shared" si="3"/>
        <v>8215.4214259636701</v>
      </c>
      <c r="N56" t="s">
        <v>48</v>
      </c>
    </row>
    <row r="57" spans="2:14" x14ac:dyDescent="0.25">
      <c r="B57" s="37" t="s">
        <v>39</v>
      </c>
      <c r="C57" s="38">
        <v>4860</v>
      </c>
      <c r="E57" s="41">
        <v>0.95051828672012517</v>
      </c>
      <c r="F57" s="42">
        <f>E57*F53</f>
        <v>792.73225112458442</v>
      </c>
      <c r="G57" s="42">
        <f>G53*E57</f>
        <v>955.09909774046321</v>
      </c>
      <c r="I57" s="38">
        <f t="shared" si="1"/>
        <v>19742.819028886512</v>
      </c>
      <c r="J57" s="38">
        <f t="shared" si="2"/>
        <v>23226.845916337075</v>
      </c>
      <c r="K57" s="38">
        <f t="shared" si="0"/>
        <v>19742.819028886512</v>
      </c>
      <c r="L57" s="38">
        <f t="shared" si="3"/>
        <v>11613.422958168538</v>
      </c>
      <c r="N57" s="38">
        <f>K57*0.5+L57*0.5</f>
        <v>15678.120993527526</v>
      </c>
    </row>
    <row r="58" spans="2:14" x14ac:dyDescent="0.25">
      <c r="I58" s="44" t="s">
        <v>60</v>
      </c>
      <c r="N58" t="s">
        <v>57</v>
      </c>
    </row>
    <row r="59" spans="2:14" x14ac:dyDescent="0.25">
      <c r="I59" s="44" t="s">
        <v>61</v>
      </c>
    </row>
    <row r="60" spans="2:14" x14ac:dyDescent="0.25">
      <c r="I60" s="44" t="s">
        <v>62</v>
      </c>
      <c r="N60" s="31"/>
    </row>
    <row r="66" spans="14:14" x14ac:dyDescent="0.25">
      <c r="N66" s="31"/>
    </row>
    <row r="67" spans="14:14" x14ac:dyDescent="0.25">
      <c r="N67" s="31"/>
    </row>
  </sheetData>
  <mergeCells count="29">
    <mergeCell ref="I50:I51"/>
    <mergeCell ref="K50:L50"/>
    <mergeCell ref="B50:B51"/>
    <mergeCell ref="C50:C51"/>
    <mergeCell ref="E50:E51"/>
    <mergeCell ref="F50:F51"/>
    <mergeCell ref="G50:G51"/>
    <mergeCell ref="J50:J51"/>
    <mergeCell ref="M31:M38"/>
    <mergeCell ref="I37:J37"/>
    <mergeCell ref="K37:L37"/>
    <mergeCell ref="I38:J38"/>
    <mergeCell ref="K38:L38"/>
    <mergeCell ref="J44:K44"/>
    <mergeCell ref="M44:N44"/>
    <mergeCell ref="E28:F28"/>
    <mergeCell ref="I34:J34"/>
    <mergeCell ref="K34:L34"/>
    <mergeCell ref="I35:J35"/>
    <mergeCell ref="K35:L35"/>
    <mergeCell ref="I36:J36"/>
    <mergeCell ref="K36:L36"/>
    <mergeCell ref="I29:L29"/>
    <mergeCell ref="I30:J30"/>
    <mergeCell ref="K30:L30"/>
    <mergeCell ref="I31:J32"/>
    <mergeCell ref="K31:L32"/>
    <mergeCell ref="I33:J33"/>
    <mergeCell ref="K33:L33"/>
  </mergeCells>
  <hyperlinks>
    <hyperlink ref="H1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FA9B85-BC8C-44BF-9B75-503B64FD6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ACA01E-161D-4FD1-AC36-5A3B142CCE04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B346B4-0F1C-4379-AB61-580940A9A7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Sheet1!_ftn2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VEIC</dc:creator>
  <cp:lastModifiedBy>Samuel Dent</cp:lastModifiedBy>
  <dcterms:created xsi:type="dcterms:W3CDTF">2012-04-27T04:30:46Z</dcterms:created>
  <dcterms:modified xsi:type="dcterms:W3CDTF">2014-02-04T10:55:31Z</dcterms:modified>
</cp:coreProperties>
</file>