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source0.sharepoint.com/sites/A1171/Shared Documents/_Q Drive/_Reporting/2025/Cost-Effectiveness Reporting/"/>
    </mc:Choice>
  </mc:AlternateContent>
  <xr:revisionPtr revIDLastSave="104" documentId="13_ncr:1_{320346B3-FCED-4929-8D6C-7F51DF0264C6}" xr6:coauthVersionLast="47" xr6:coauthVersionMax="47" xr10:uidLastSave="{F5CDFC8E-39E7-405D-B98A-987632F09470}"/>
  <bookViews>
    <workbookView xWindow="-10200" yWindow="-16320" windowWidth="29040" windowHeight="15720" xr2:uid="{250B4888-63EF-4583-97B1-86847050F99A}"/>
  </bookViews>
  <sheets>
    <sheet name="File Info" sheetId="3" r:id="rId1"/>
    <sheet name="SAG Summary - EE Portfolio" sheetId="1" r:id="rId2"/>
    <sheet name="SAG Summary - Voltage Opt." sheetId="2" r:id="rId3"/>
  </sheets>
  <definedNames>
    <definedName name="_____sal2" hidden="1">{"SALARIOS",#N/A,FALSE,"Hoja3";"SUELDOS EMPLEADOS",#N/A,FALSE,"Hoja4";"SUELDOS EJECUTIVOS",#N/A,FALSE,"Hoja5"}</definedName>
    <definedName name="____sal2" hidden="1">{"SALARIOS",#N/A,FALSE,"Hoja3";"SUELDOS EMPLEADOS",#N/A,FALSE,"Hoja4";"SUELDOS EJECUTIVOS",#N/A,FALSE,"Hoja5"}</definedName>
    <definedName name="___sal2" hidden="1">{"SALARIOS",#N/A,FALSE,"Hoja3";"SUELDOS EMPLEADOS",#N/A,FALSE,"Hoja4";"SUELDOS EJECUTIVOS",#N/A,FALSE,"Hoja5"}</definedName>
    <definedName name="__IntlFixup" hidden="1">TRUE</definedName>
    <definedName name="__sal2" hidden="1">{"SALARIOS",#N/A,FALSE,"Hoja3";"SUELDOS EMPLEADOS",#N/A,FALSE,"Hoja4";"SUELDOS EJECUTIVOS",#N/A,FALSE,"Hoja5"}</definedName>
    <definedName name="_1_123Graph_AEND" hidden="1">#REF!</definedName>
    <definedName name="_2_123Graph_XEND" hidden="1">#REF!</definedName>
    <definedName name="_Dist_Bin" hidden="1">#REF!</definedName>
    <definedName name="_Dist_Values" hidden="1">#REF!</definedName>
    <definedName name="_Fill" hidden="1">#REF!</definedName>
    <definedName name="_xlnm._FilterDatabase" localSheetId="1" hidden="1">'SAG Summary - EE Portfolio'!$A$3:$AK$33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dsfas" hidden="1">#REF!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nnual_report2" hidden="1">{"ARPandL",#N/A,FALSE,"Report Annual";"ARCashflow",#N/A,FALSE,"Report Annual";"ARBalanceSheet",#N/A,FALSE,"Report Annual";"ARRatios",#N/A,FALSE,"Report Annual"}</definedName>
    <definedName name="AS2DocOpenMode" hidden="1">"AS2DocumentEdit"</definedName>
    <definedName name="avoided_costs_final">#REF!</definedName>
    <definedName name="avoided_costs_mod">#REF!</definedName>
    <definedName name="avoided_costs_raw">#REF!</definedName>
    <definedName name="Avoided_kW_Monetized">#REF!</definedName>
    <definedName name="Avoided_kWh_Monetized">#REF!</definedName>
    <definedName name="Avoided_Therms_Monetized">#REF!</definedName>
    <definedName name="Avoided_Therms_Monetized_Summ">#REF!</definedName>
    <definedName name="Avoided_Therms_Monetized_Wint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omm_Line_Loss">#REF!</definedName>
    <definedName name="Comm_Peak_Loss">#REF!</definedName>
    <definedName name="DRC_Monetized">#REF!</definedName>
    <definedName name="DRCsched">#REF!</definedName>
    <definedName name="Elec_BillSavings_Monetized">#REF!</definedName>
    <definedName name="Elec_LostRevenue_Monetized">#REF!</definedName>
    <definedName name="env_ben_gas_monetized">#REF!</definedName>
    <definedName name="env_ben_monetized">#REF!</definedName>
    <definedName name="EquipType">#REF!</definedName>
    <definedName name="expenditure_elec_port_mod">#REF!</definedName>
    <definedName name="expenditure_elec_prog_mod">#REF!</definedName>
    <definedName name="expenditure_gas_port_mod">#REF!</definedName>
    <definedName name="expenditure_gas_prog_mod">#REF!</definedName>
    <definedName name="expenditures_elec_raw">#REF!</definedName>
    <definedName name="expenditures_gas_raw">#REF!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lujo2" hidden="1">{"FLUJO DE CAJA",#N/A,FALSE,"Hoja1";"ANEXOS FLUJO",#N/A,FALSE,"Hoja1"}</definedName>
    <definedName name="ganacias2" hidden="1">{"GAN.Y PERD.RESUMIDO",#N/A,FALSE,"Hoja1";"GAN.Y PERD.DETALLADO",#N/A,FALSE,"Hoja1"}</definedName>
    <definedName name="Gas_BillSavings_Monetized">#REF!</definedName>
    <definedName name="Gas_BillSavings_Monetized_Summ">#REF!</definedName>
    <definedName name="Gas_BillSavings_Monetized_Wint">#REF!</definedName>
    <definedName name="Gas_LostRevenue_Monetized">#REF!</definedName>
    <definedName name="Gas_LostRevenue_Monetized_Summ">#REF!</definedName>
    <definedName name="Gas_LostRevenue_Monetized_Wint">#REF!</definedName>
    <definedName name="hh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flation_Rate">#REF!</definedName>
    <definedName name="inputs" hidden="1">{"Inputs 1","Base",FALSE,"INPUTS";"Inputs 2","Base",FALSE,"INPUTS";"Inputs 3","Base",FALSE,"INPUTS";"Inputs 4","Base",FALSE,"INPUTS";"Inputs 5","Base",FALSE,"INPUTS"}</definedName>
    <definedName name="jj" hidden="1">{"Portrait",#N/A,FALSE,"BOILER";"boiler_1",#N/A,FALSE,"BOILER";"boiler_2",#N/A,FALSE,"BOILER";"boiler_3",#N/A,FALSE,"BOILER";"results",#N/A,FALSE,"BOILER"}</definedName>
    <definedName name="kw_monetized">#REF!</definedName>
    <definedName name="kwh_monetized">#REF!</definedName>
    <definedName name="meas_ben_summ">#REF!</definedName>
    <definedName name="Meas_Benefits_Summary">#REF!</definedName>
    <definedName name="meas_cost_mod">#REF!</definedName>
    <definedName name="meas_cost_summ">#REF!</definedName>
    <definedName name="measCore">#REF!</definedName>
    <definedName name="Measure_Cost_Summary">#REF!</definedName>
    <definedName name="measureKey">#REF!</definedName>
    <definedName name="netKWhSavingsSched">#REF!</definedName>
    <definedName name="netkWhsched">#REF!</definedName>
    <definedName name="netKWSavingsSched">#REF!</definedName>
    <definedName name="netkWsched">#REF!</definedName>
    <definedName name="NetnonAICSavingsSched">#REF!</definedName>
    <definedName name="NetPropaneSavingsSched">#REF!</definedName>
    <definedName name="netThermsched">#REF!</definedName>
    <definedName name="netThermschedSummer">#REF!</definedName>
    <definedName name="netThermschedWint">#REF!</definedName>
    <definedName name="netThermsSavingsSched">#REF!</definedName>
    <definedName name="netWaterSavingsSched">#REF!</definedName>
    <definedName name="netWatersched">#REF!</definedName>
    <definedName name="nom_dis_rate_paste">#REF!</definedName>
    <definedName name="nominal_discount_rate">#REF!</definedName>
    <definedName name="Nominal_Participant_Rate">#REF!</definedName>
    <definedName name="Nominal_Societal_Rate">#REF!</definedName>
    <definedName name="Nominal_WACC_Rate">#REF!</definedName>
    <definedName name="nonAICtherms_monetized">#REF!</definedName>
    <definedName name="_xlnm.Print_Area" localSheetId="1">'SAG Summary - EE Portfolio'!$A$1:$AK$33</definedName>
    <definedName name="print99" hidden="1">{#N/A,#N/A,FALSE,"Resid CPRIV";#N/A,#N/A,FALSE,"Comer_CPRIVKsum";#N/A,#N/A,FALSE,"General (2)";#N/A,#N/A,FALSE,"Oficial";#N/A,#N/A,FALSE,"Resumen";#N/A,#N/A,FALSE,"Escenarios"}</definedName>
    <definedName name="Program_BCRs">#REF!</definedName>
    <definedName name="Program_Expenditures">#REF!</definedName>
    <definedName name="Program_NTGRs">#REF!</definedName>
    <definedName name="program_year">#REF!</definedName>
    <definedName name="propane_monetized">#REF!</definedName>
    <definedName name="Propaneadder_monetized">#REF!</definedName>
    <definedName name="Qty">#REF!</definedName>
    <definedName name="report99" hidden="1">{"Rep 1",#N/A,FALSE,"Reports";"Rep 2",#N/A,FALSE,"Reports";"Rep 3",#N/A,FALSE,"Reports";"Rep 4",#N/A,FALSE,"Reports"}</definedName>
    <definedName name="Res_Line_Loss">#REF!</definedName>
    <definedName name="Res_Peak_Loss">#REF!</definedName>
    <definedName name="sadf4" hidden="1">{"Portrait",#N/A,FALSE,"BOILER";"boiler_1",#N/A,FALSE,"BOILER";"boiler_2",#N/A,FALSE,"BOILER";"boiler_3",#N/A,FALSE,"BOILER";"results",#N/A,FALSE,"BOILER"}</definedName>
    <definedName name="savTest">#REF!</definedName>
    <definedName name="soc_kWhNEIs_monetized">#REF!</definedName>
    <definedName name="Soc_propNEIs_monetized">#REF!</definedName>
    <definedName name="soc_thermNEIs_bus_monetized">#REF!</definedName>
    <definedName name="soc_thermNEIs_res_monetized">#REF!</definedName>
    <definedName name="Societal_NEI_Monetized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0.8</definedName>
    <definedName name="TD_monetized">#REF!</definedName>
    <definedName name="TextRefCopyRangeCount" hidden="1">5</definedName>
    <definedName name="therm_monetized">#REF!</definedName>
    <definedName name="total_prog_costs">#REF!</definedName>
    <definedName name="TRM">#REF!</definedName>
    <definedName name="w" hidden="1">{"Rep 1",#N/A,FALSE,"Reports";"Rep 2",#N/A,FALSE,"Reports";"Rep 3",#N/A,FALSE,"Reports";"Rep 4",#N/A,FALSE,"Reports"}</definedName>
    <definedName name="water_monetized">#REF!</definedName>
    <definedName name="Water_Savings_Monetized">#REF!</definedName>
    <definedName name="wkjetghjkwrh" hidden="1">{"Portrait",#N/A,FALSE,"BOILER";"boiler_1",#N/A,FALSE,"BOILER";"boiler_2",#N/A,FALSE,"BOILER";"boiler_3",#N/A,FALSE,"BOILER";"results",#N/A,FALSE,"BOILER"}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nnual._.Report." hidden="1">{"ARPandL",#N/A,FALSE,"Report Annual";"ARCashflow",#N/A,FALSE,"Report Annual";"ARBalanceSheet",#N/A,FALSE,"Report Annual";"ARRatios",#N/A,FALSE,"Report Annual"}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LUJO._.CAJA." hidden="1">{"FLUJO DE CAJA",#N/A,FALSE,"Hoja1";"ANEXOS FLUJO",#N/A,FALSE,"Hoja1"}</definedName>
    <definedName name="wrn.GANANCIAS._.Y._.PERDIDAS." hidden="1">{"GAN.Y PERD.RESUMIDO",#N/A,FALSE,"Hoja1";"GAN.Y PERD.DETALLADO",#N/A,FALSE,"Hoja1"}</definedName>
    <definedName name="wrn.Hardcopy." hidden="1">{"Portrait",#N/A,FALSE,"BOILER";"boiler_1",#N/A,FALSE,"BOILER";"boiler_2",#N/A,FALSE,"BOILER";"boiler_3",#N/A,FALSE,"BOILER";"results",#N/A,FALSE,"BOILER"}</definedName>
    <definedName name="wrn.Inputs." hidden="1">{"Inputs 1","Base",FALSE,"INPUTS";"Inputs 2","Base",FALSE,"INPUTS";"Inputs 3","Base",FALSE,"INPUTS";"Inputs 4","Base",FALSE,"INPUTS";"Inputs 5","Base",FALSE,"INPUTS"}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" hidden="1">{#N/A,#N/A,FALSE,"Resid CPRIV";#N/A,#N/A,FALSE,"Comer_CPRIVKsum";#N/A,#N/A,FALSE,"General (2)";#N/A,#N/A,FALSE,"Oficial";#N/A,#N/A,FALSE,"Resumen";#N/A,#N/A,FALSE,"Escenarios"}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." hidden="1">{"Rep 1",#N/A,FALSE,"Reports";"Rep 2",#N/A,FALSE,"Reports";"Rep 3",#N/A,FALSE,"Reports";"Rep 4",#N/A,FALSE,"Reports"}</definedName>
    <definedName name="wrn.SALARIOS._.PRESUPUESTO." hidden="1">{"SALARIOS",#N/A,FALSE,"Hoja3";"SUELDOS EMPLEADOS",#N/A,FALSE,"Hoja4";"SUELDOS EJECUTIVOS",#N/A,FALSE,"Hoja5"}</definedName>
    <definedName name="wrn.Summary." hidden="1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Row" hidden="1">#REF!</definedName>
    <definedName name="XRefCopy5" hidden="1">#REF!</definedName>
    <definedName name="XRefCopy5Row" hidden="1">#REF!</definedName>
    <definedName name="XRefCopyRangeCount" hidden="1">5</definedName>
    <definedName name="XRefPaste1" hidden="1">#REF!</definedName>
    <definedName name="XRefPaste1Row" hidden="1">#REF!</definedName>
    <definedName name="XRefPasteRangeCount" hidden="1">1</definedName>
    <definedName name="xx" hidden="1">{#N/A,#N/A,FALSE,"Aging Summary";#N/A,#N/A,FALSE,"Ratio Analysis";#N/A,#N/A,FALSE,"Test 120 Day Accts";#N/A,#N/A,FALSE,"Tickmarks"}</definedName>
    <definedName name="xxxx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Year">#REF!</definedName>
    <definedName name="z" hidden="1">{"Portrait",#N/A,FALSE,"BOILER";"boiler_1",#N/A,FALSE,"BOILER";"boiler_2",#N/A,FALSE,"BOILER";"boiler_3",#N/A,FALSE,"BOILER";"results",#N/A,FALSE,"BOILER"}</definedName>
    <definedName name="Z_0B113C9C_A1A9_11D3_A311_0008C739212F_.wvu.PrintArea" hidden="1">#REF!</definedName>
    <definedName name="Z_1C03E4A5_0E99_11D5_896C_00008646D7BA_.wvu.Rows" hidden="1">#REF!</definedName>
    <definedName name="Z_74BB7D31_A24A_11D3_95F1_000000000000_.wvu.PrintArea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X4" i="1"/>
  <c r="Y4" i="1"/>
  <c r="Z4" i="1"/>
  <c r="AB4" i="1"/>
  <c r="AC4" i="1"/>
  <c r="AE4" i="1" s="1"/>
  <c r="AD4" i="1"/>
  <c r="AH4" i="1"/>
  <c r="AI4" i="1"/>
  <c r="AJ4" i="1"/>
  <c r="W5" i="1"/>
  <c r="X5" i="1"/>
  <c r="Y5" i="1"/>
  <c r="Z5" i="1"/>
  <c r="AB5" i="1"/>
  <c r="AC5" i="1"/>
  <c r="AD5" i="1"/>
  <c r="AE5" i="1"/>
  <c r="AH5" i="1"/>
  <c r="AI5" i="1"/>
  <c r="AJ5" i="1"/>
  <c r="W6" i="1"/>
  <c r="X6" i="1"/>
  <c r="Y6" i="1" s="1"/>
  <c r="AB6" i="1"/>
  <c r="AC6" i="1"/>
  <c r="AD6" i="1"/>
  <c r="AE6" i="1"/>
  <c r="AH6" i="1"/>
  <c r="AJ6" i="1" s="1"/>
  <c r="W7" i="1"/>
  <c r="X7" i="1"/>
  <c r="Y7" i="1"/>
  <c r="Z7" i="1"/>
  <c r="AB7" i="1"/>
  <c r="AC7" i="1"/>
  <c r="AE7" i="1" s="1"/>
  <c r="AH7" i="1"/>
  <c r="AI7" i="1"/>
  <c r="AJ7" i="1"/>
  <c r="W8" i="1"/>
  <c r="X8" i="1"/>
  <c r="Z8" i="1" s="1"/>
  <c r="Y8" i="1"/>
  <c r="AB8" i="1"/>
  <c r="AC8" i="1"/>
  <c r="AD8" i="1"/>
  <c r="AE8" i="1"/>
  <c r="AH8" i="1"/>
  <c r="AI8" i="1"/>
  <c r="AJ8" i="1"/>
  <c r="W9" i="1"/>
  <c r="X9" i="1"/>
  <c r="Y9" i="1"/>
  <c r="Z9" i="1"/>
  <c r="AB9" i="1"/>
  <c r="AC9" i="1"/>
  <c r="AD9" i="1"/>
  <c r="AE9" i="1"/>
  <c r="AH9" i="1"/>
  <c r="AI9" i="1" s="1"/>
  <c r="W10" i="1"/>
  <c r="X10" i="1"/>
  <c r="Y10" i="1"/>
  <c r="Z10" i="1"/>
  <c r="AB10" i="1"/>
  <c r="AC10" i="1"/>
  <c r="AD10" i="1" s="1"/>
  <c r="AH10" i="1"/>
  <c r="AI10" i="1"/>
  <c r="AJ10" i="1"/>
  <c r="W11" i="1"/>
  <c r="X11" i="1"/>
  <c r="Z11" i="1" s="1"/>
  <c r="AB11" i="1"/>
  <c r="AC11" i="1"/>
  <c r="AD11" i="1"/>
  <c r="AE11" i="1"/>
  <c r="AH11" i="1"/>
  <c r="AJ11" i="1" s="1"/>
  <c r="AI11" i="1"/>
  <c r="W12" i="1"/>
  <c r="X12" i="1"/>
  <c r="Y12" i="1"/>
  <c r="Z12" i="1"/>
  <c r="AB12" i="1"/>
  <c r="AC12" i="1"/>
  <c r="AE12" i="1" s="1"/>
  <c r="AD12" i="1"/>
  <c r="AH12" i="1"/>
  <c r="AI12" i="1"/>
  <c r="AJ12" i="1"/>
  <c r="W13" i="1"/>
  <c r="X13" i="1"/>
  <c r="Y13" i="1"/>
  <c r="Z13" i="1"/>
  <c r="AB13" i="1"/>
  <c r="AC13" i="1"/>
  <c r="AD13" i="1"/>
  <c r="AE13" i="1"/>
  <c r="AH13" i="1"/>
  <c r="AI13" i="1"/>
  <c r="AJ13" i="1"/>
  <c r="W14" i="1"/>
  <c r="X14" i="1"/>
  <c r="Y14" i="1" s="1"/>
  <c r="AB14" i="1"/>
  <c r="AC14" i="1"/>
  <c r="AD14" i="1"/>
  <c r="AE14" i="1"/>
  <c r="AH14" i="1"/>
  <c r="AJ14" i="1" s="1"/>
  <c r="W15" i="1"/>
  <c r="X15" i="1"/>
  <c r="Y15" i="1"/>
  <c r="Z15" i="1"/>
  <c r="AB15" i="1"/>
  <c r="AC15" i="1"/>
  <c r="AE15" i="1" s="1"/>
  <c r="AH15" i="1"/>
  <c r="AI15" i="1"/>
  <c r="AJ15" i="1"/>
  <c r="H44" i="1"/>
  <c r="H43" i="1"/>
  <c r="G43" i="1"/>
  <c r="F43" i="1"/>
  <c r="AD15" i="1" l="1"/>
  <c r="AI14" i="1"/>
  <c r="Y11" i="1"/>
  <c r="AD7" i="1"/>
  <c r="AI6" i="1"/>
  <c r="Z14" i="1"/>
  <c r="AE10" i="1"/>
  <c r="AJ9" i="1"/>
  <c r="Z6" i="1"/>
  <c r="AH42" i="1" l="1"/>
  <c r="AI42" i="1" s="1"/>
  <c r="AC42" i="1"/>
  <c r="AB42" i="1"/>
  <c r="AD42" i="1" s="1"/>
  <c r="X42" i="1"/>
  <c r="W42" i="1"/>
  <c r="AH41" i="1"/>
  <c r="AC41" i="1"/>
  <c r="AB41" i="1"/>
  <c r="AD41" i="1" s="1"/>
  <c r="X41" i="1"/>
  <c r="W41" i="1"/>
  <c r="Y41" i="1" s="1"/>
  <c r="AH40" i="1"/>
  <c r="AI40" i="1"/>
  <c r="AC40" i="1"/>
  <c r="AB40" i="1"/>
  <c r="AD40" i="1" s="1"/>
  <c r="X40" i="1"/>
  <c r="W40" i="1"/>
  <c r="Y40" i="1" s="1"/>
  <c r="AH39" i="1"/>
  <c r="AI39" i="1"/>
  <c r="AC39" i="1"/>
  <c r="AD39" i="1" s="1"/>
  <c r="AB39" i="1"/>
  <c r="X39" i="1"/>
  <c r="W39" i="1"/>
  <c r="Y39" i="1" s="1"/>
  <c r="AH38" i="1"/>
  <c r="AC38" i="1"/>
  <c r="AB38" i="1"/>
  <c r="X38" i="1"/>
  <c r="W38" i="1"/>
  <c r="Y38" i="1" s="1"/>
  <c r="AH37" i="1"/>
  <c r="AC37" i="1"/>
  <c r="AB37" i="1"/>
  <c r="AD37" i="1" s="1"/>
  <c r="X37" i="1"/>
  <c r="W37" i="1"/>
  <c r="AH36" i="1"/>
  <c r="AJ36" i="1"/>
  <c r="AC36" i="1"/>
  <c r="AB36" i="1"/>
  <c r="X36" i="1"/>
  <c r="W36" i="1"/>
  <c r="Y36" i="1" s="1"/>
  <c r="AH35" i="1"/>
  <c r="AC35" i="1"/>
  <c r="AE35" i="1" s="1"/>
  <c r="AB35" i="1"/>
  <c r="X35" i="1"/>
  <c r="W35" i="1"/>
  <c r="AH34" i="1"/>
  <c r="AJ34" i="1" s="1"/>
  <c r="AC34" i="1"/>
  <c r="AB34" i="1"/>
  <c r="X34" i="1"/>
  <c r="W34" i="1"/>
  <c r="AH33" i="1"/>
  <c r="AC33" i="1"/>
  <c r="AE33" i="1" s="1"/>
  <c r="AB33" i="1"/>
  <c r="X33" i="1"/>
  <c r="W33" i="1"/>
  <c r="AH32" i="1"/>
  <c r="AJ32" i="1" s="1"/>
  <c r="AC32" i="1"/>
  <c r="AB32" i="1"/>
  <c r="X32" i="1"/>
  <c r="W32" i="1"/>
  <c r="Z32" i="1" s="1"/>
  <c r="AH31" i="1"/>
  <c r="AC31" i="1"/>
  <c r="AB31" i="1"/>
  <c r="X31" i="1"/>
  <c r="W31" i="1"/>
  <c r="AH30" i="1"/>
  <c r="AJ30" i="1" s="1"/>
  <c r="AI30" i="1"/>
  <c r="AC30" i="1"/>
  <c r="AB30" i="1"/>
  <c r="X30" i="1"/>
  <c r="W30" i="1"/>
  <c r="AH29" i="1"/>
  <c r="AC29" i="1"/>
  <c r="AB29" i="1"/>
  <c r="AE29" i="1" s="1"/>
  <c r="X29" i="1"/>
  <c r="W29" i="1"/>
  <c r="AH28" i="1"/>
  <c r="AJ28" i="1"/>
  <c r="AC28" i="1"/>
  <c r="AB28" i="1"/>
  <c r="X28" i="1"/>
  <c r="W28" i="1"/>
  <c r="Y28" i="1" s="1"/>
  <c r="AH27" i="1"/>
  <c r="AC27" i="1"/>
  <c r="AE27" i="1" s="1"/>
  <c r="AB27" i="1"/>
  <c r="X27" i="1"/>
  <c r="W27" i="1"/>
  <c r="AH26" i="1"/>
  <c r="AJ26" i="1"/>
  <c r="AC26" i="1"/>
  <c r="AB26" i="1"/>
  <c r="X26" i="1"/>
  <c r="W26" i="1"/>
  <c r="Z26" i="1" s="1"/>
  <c r="AH25" i="1"/>
  <c r="AC25" i="1"/>
  <c r="AB25" i="1"/>
  <c r="X25" i="1"/>
  <c r="W25" i="1"/>
  <c r="AH24" i="1"/>
  <c r="AC24" i="1"/>
  <c r="AB24" i="1"/>
  <c r="X24" i="1"/>
  <c r="W24" i="1"/>
  <c r="AH23" i="1"/>
  <c r="AJ23" i="1"/>
  <c r="AC23" i="1"/>
  <c r="AB23" i="1"/>
  <c r="X23" i="1"/>
  <c r="W23" i="1"/>
  <c r="Z23" i="1" s="1"/>
  <c r="AH22" i="1"/>
  <c r="AC22" i="1"/>
  <c r="AB22" i="1"/>
  <c r="X22" i="1"/>
  <c r="W22" i="1"/>
  <c r="AH21" i="1"/>
  <c r="AI21" i="1" s="1"/>
  <c r="AC21" i="1"/>
  <c r="AB21" i="1"/>
  <c r="X21" i="1"/>
  <c r="W21" i="1"/>
  <c r="AH20" i="1"/>
  <c r="AC20" i="1"/>
  <c r="AB20" i="1"/>
  <c r="AD20" i="1" s="1"/>
  <c r="X20" i="1"/>
  <c r="W20" i="1"/>
  <c r="AH19" i="1"/>
  <c r="AI19" i="1"/>
  <c r="AC19" i="1"/>
  <c r="AB19" i="1"/>
  <c r="X19" i="1"/>
  <c r="Z19" i="1" s="1"/>
  <c r="W19" i="1"/>
  <c r="AH18" i="1"/>
  <c r="AC18" i="1"/>
  <c r="AB18" i="1"/>
  <c r="AD18" i="1" s="1"/>
  <c r="X18" i="1"/>
  <c r="W18" i="1"/>
  <c r="AH17" i="1"/>
  <c r="AI17" i="1"/>
  <c r="AC17" i="1"/>
  <c r="AB17" i="1"/>
  <c r="X17" i="1"/>
  <c r="W17" i="1"/>
  <c r="Y17" i="1" s="1"/>
  <c r="AH16" i="1"/>
  <c r="AC16" i="1"/>
  <c r="AB16" i="1"/>
  <c r="AD16" i="1" s="1"/>
  <c r="X16" i="1"/>
  <c r="W16" i="1"/>
  <c r="Y21" i="1" l="1"/>
  <c r="AE22" i="1"/>
  <c r="AD25" i="1"/>
  <c r="Z34" i="1"/>
  <c r="AD38" i="1"/>
  <c r="AE31" i="1"/>
  <c r="AD33" i="1"/>
  <c r="Z30" i="1"/>
  <c r="AE25" i="1"/>
  <c r="Z36" i="1"/>
  <c r="Z21" i="1"/>
  <c r="Z28" i="1"/>
  <c r="AD22" i="1"/>
  <c r="Z17" i="1"/>
  <c r="AI24" i="1"/>
  <c r="AD31" i="1"/>
  <c r="Y34" i="1"/>
  <c r="AI36" i="1"/>
  <c r="AI37" i="1"/>
  <c r="AD27" i="1"/>
  <c r="Y30" i="1"/>
  <c r="AI32" i="1"/>
  <c r="AD35" i="1"/>
  <c r="Y42" i="1"/>
  <c r="AE20" i="1"/>
  <c r="AI23" i="1"/>
  <c r="AI26" i="1"/>
  <c r="AD29" i="1"/>
  <c r="Y32" i="1"/>
  <c r="AI34" i="1"/>
  <c r="AE18" i="1"/>
  <c r="AE16" i="1"/>
  <c r="AJ21" i="1"/>
  <c r="Y26" i="1"/>
  <c r="AI28" i="1"/>
  <c r="AJ19" i="1"/>
  <c r="Y23" i="1"/>
  <c r="AJ17" i="1"/>
  <c r="Y19" i="1"/>
  <c r="AD24" i="1"/>
  <c r="Y37" i="1"/>
  <c r="AI41" i="1"/>
  <c r="AJ16" i="1"/>
  <c r="AI16" i="1"/>
  <c r="Z22" i="1"/>
  <c r="Y22" i="1"/>
  <c r="Z27" i="1"/>
  <c r="Y27" i="1"/>
  <c r="Z20" i="1"/>
  <c r="Y20" i="1"/>
  <c r="AJ25" i="1"/>
  <c r="AI25" i="1"/>
  <c r="AE28" i="1"/>
  <c r="AD28" i="1"/>
  <c r="Z31" i="1"/>
  <c r="Y31" i="1"/>
  <c r="AJ33" i="1"/>
  <c r="AI33" i="1"/>
  <c r="AE36" i="1"/>
  <c r="AD36" i="1"/>
  <c r="Z18" i="1"/>
  <c r="Y18" i="1"/>
  <c r="AE23" i="1"/>
  <c r="AD23" i="1"/>
  <c r="AD26" i="1"/>
  <c r="AE26" i="1"/>
  <c r="Y29" i="1"/>
  <c r="Z29" i="1"/>
  <c r="Z16" i="1"/>
  <c r="Y16" i="1"/>
  <c r="AE21" i="1"/>
  <c r="AD21" i="1"/>
  <c r="AE19" i="1"/>
  <c r="AD19" i="1"/>
  <c r="AE17" i="1"/>
  <c r="AD17" i="1"/>
  <c r="AJ22" i="1"/>
  <c r="AI22" i="1"/>
  <c r="AJ29" i="1"/>
  <c r="AI29" i="1"/>
  <c r="AE32" i="1"/>
  <c r="AD32" i="1"/>
  <c r="Z35" i="1"/>
  <c r="Y35" i="1"/>
  <c r="AJ20" i="1"/>
  <c r="AI20" i="1"/>
  <c r="Z25" i="1"/>
  <c r="Y25" i="1"/>
  <c r="AJ27" i="1"/>
  <c r="AI27" i="1"/>
  <c r="AE30" i="1"/>
  <c r="AD30" i="1"/>
  <c r="Z33" i="1"/>
  <c r="Y33" i="1"/>
  <c r="AJ35" i="1"/>
  <c r="AI35" i="1"/>
  <c r="AI31" i="1"/>
  <c r="AJ31" i="1"/>
  <c r="AD34" i="1"/>
  <c r="AE34" i="1"/>
  <c r="AI18" i="1"/>
  <c r="AJ18" i="1"/>
  <c r="Y24" i="1"/>
  <c r="AI38" i="1"/>
  <c r="P43" i="1" l="1"/>
  <c r="P44" i="1" l="1"/>
  <c r="D43" i="1"/>
  <c r="D44" i="1" s="1"/>
  <c r="E43" i="1"/>
  <c r="E44" i="1" s="1"/>
  <c r="Z4" i="2"/>
  <c r="U4" i="2" s="1"/>
  <c r="AA4" i="2"/>
  <c r="V4" i="2" s="1"/>
  <c r="AE4" i="2"/>
  <c r="AF4" i="2"/>
  <c r="F44" i="1"/>
  <c r="AC4" i="2" l="1"/>
  <c r="N43" i="1"/>
  <c r="N44" i="1" s="1"/>
  <c r="K43" i="1"/>
  <c r="K44" i="1" s="1"/>
  <c r="U43" i="1"/>
  <c r="U44" i="1" s="1"/>
  <c r="S43" i="1"/>
  <c r="S44" i="1" s="1"/>
  <c r="M43" i="1"/>
  <c r="M44" i="1" s="1"/>
  <c r="L43" i="1"/>
  <c r="L44" i="1" s="1"/>
  <c r="C43" i="1"/>
  <c r="C44" i="1" s="1"/>
  <c r="T43" i="1"/>
  <c r="T44" i="1" s="1"/>
  <c r="R43" i="1"/>
  <c r="Q43" i="1"/>
  <c r="J43" i="1"/>
  <c r="AG4" i="2"/>
  <c r="W4" i="2"/>
  <c r="X4" i="2"/>
  <c r="AH4" i="2"/>
  <c r="B43" i="1"/>
  <c r="AB4" i="2"/>
  <c r="X43" i="1" l="1"/>
  <c r="X44" i="1" s="1"/>
  <c r="AC43" i="1"/>
  <c r="AC44" i="1" s="1"/>
  <c r="AB43" i="1"/>
  <c r="W43" i="1"/>
  <c r="Q44" i="1"/>
  <c r="AH43" i="1"/>
  <c r="AH44" i="1" s="1"/>
  <c r="R44" i="1"/>
  <c r="J44" i="1"/>
  <c r="B44" i="1"/>
  <c r="AG44" i="1" l="1"/>
  <c r="AJ44" i="1" s="1"/>
  <c r="AJ43" i="1"/>
  <c r="AI43" i="1"/>
  <c r="AI44" i="1" s="1"/>
  <c r="W44" i="1"/>
  <c r="Z44" i="1" s="1"/>
  <c r="Z43" i="1"/>
  <c r="Y43" i="1"/>
  <c r="Y44" i="1" s="1"/>
  <c r="AE43" i="1"/>
  <c r="AD43" i="1"/>
  <c r="AD44" i="1" s="1"/>
  <c r="AB44" i="1"/>
  <c r="AE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tc={45E2E590-28DB-418A-8E12-429BFDA8FC1D}</author>
  </authors>
  <commentList>
    <comment ref="AH43" authorId="0" shapeId="0" xr:uid="{45E2E590-28DB-418A-8E12-429BFDA8FC1D}">
      <text>
        <t>[Threaded comment]
Your version of Excel allows you to read this threaded comment; however, any edits to it will get removed if the file is opened in a newer version of Excel. Learn more: https://go.microsoft.com/fwlink/?linkid=870924
Comment:
    We know the only other fuel impacts on the cost side are AIC impacts, so we don’t need to correct out non-AIC therms or propane here like we do on the benefits side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Sellner</author>
  </authors>
  <commentList>
    <comment ref="AF4" authorId="0" shapeId="0" xr:uid="{E1915282-6B31-4DEF-8FBF-6C59A1A92FC6}">
      <text>
        <r>
          <rPr>
            <b/>
            <sz val="9"/>
            <color indexed="81"/>
            <rFont val="Tahoma"/>
            <family val="2"/>
          </rPr>
          <t>Tyler Sellner:</t>
        </r>
        <r>
          <rPr>
            <sz val="9"/>
            <color indexed="81"/>
            <rFont val="Tahoma"/>
            <family val="2"/>
          </rPr>
          <t xml:space="preserve">
For VO, we include incremental costs in the PAC test since these costs are borne by the utility.</t>
        </r>
      </text>
    </comment>
  </commentList>
</comments>
</file>

<file path=xl/sharedStrings.xml><?xml version="1.0" encoding="utf-8"?>
<sst xmlns="http://schemas.openxmlformats.org/spreadsheetml/2006/main" count="214" uniqueCount="129">
  <si>
    <t>File Information</t>
  </si>
  <si>
    <t>File Name</t>
  </si>
  <si>
    <t>Author</t>
  </si>
  <si>
    <t>Purpose</t>
  </si>
  <si>
    <t>Last Updated</t>
  </si>
  <si>
    <t>Sheet Name</t>
  </si>
  <si>
    <t>Description</t>
  </si>
  <si>
    <t>File Info</t>
  </si>
  <si>
    <t>This tab</t>
  </si>
  <si>
    <t>SAG Summary - EE Portfolio</t>
  </si>
  <si>
    <t>SAG Summary - Voltage Opt.</t>
  </si>
  <si>
    <t>Program</t>
  </si>
  <si>
    <t>Benefits</t>
  </si>
  <si>
    <t>Costs</t>
  </si>
  <si>
    <t>IL Total Resource Cost (TRC) Test - with Societal NEIs</t>
  </si>
  <si>
    <t>IL Total Resource Cost (TRC) Test - without Societal NEIs</t>
  </si>
  <si>
    <r>
      <t xml:space="preserve">Utility Cost Test/Program Administrator Cost (PAC) Test, </t>
    </r>
    <r>
      <rPr>
        <i/>
        <sz val="10"/>
        <color theme="0"/>
        <rFont val="Franklin Gothic Medium"/>
        <family val="2"/>
      </rPr>
      <t>Dual Fuel Utility</t>
    </r>
  </si>
  <si>
    <t>Electric Cost Changes</t>
  </si>
  <si>
    <t>Other Fuel Cost Changes</t>
  </si>
  <si>
    <t>Water Cost Changes</t>
  </si>
  <si>
    <t>Avoided O&amp;M Cost Changes</t>
  </si>
  <si>
    <t>GHG Reduction Cost Changes</t>
  </si>
  <si>
    <t>Participant NEI Cost Changes</t>
  </si>
  <si>
    <t>Societal NEI Cost Changes</t>
  </si>
  <si>
    <t>Non-Incentive Costs (Electric)</t>
  </si>
  <si>
    <t>Non-Incentive Costs (Gas)</t>
  </si>
  <si>
    <t>Incentive Costs (Electric)</t>
  </si>
  <si>
    <t>Incentive Costs (Gas)</t>
  </si>
  <si>
    <t>Incremental Costs (Net)</t>
  </si>
  <si>
    <t>IL TRC Benefits</t>
  </si>
  <si>
    <t>IL TRC Costs</t>
  </si>
  <si>
    <t>IL TRC Test Net Benefits</t>
  </si>
  <si>
    <t>IL TRC Test Ratio</t>
  </si>
  <si>
    <t>PAC Benefits</t>
  </si>
  <si>
    <t>PAC Costs</t>
  </si>
  <si>
    <t>PAC Test Net Benefits</t>
  </si>
  <si>
    <t>PAC Test Ratio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</si>
  <si>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</si>
  <si>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</si>
  <si>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</si>
  <si>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</si>
  <si>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</si>
  <si>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</si>
  <si>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</si>
  <si>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</si>
  <si>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</si>
  <si>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</si>
  <si>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</si>
  <si>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</si>
  <si>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</si>
  <si>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</si>
  <si>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</si>
  <si>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</si>
  <si>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</si>
  <si>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</si>
  <si>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</si>
  <si>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</si>
  <si>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 =(b+c+d+e+f+g+h)</t>
  </si>
  <si>
    <t>(v) =(i+j+k+l+m+n+o+p+q+t)</t>
  </si>
  <si>
    <t>(w)=(u-v)</t>
  </si>
  <si>
    <t>(x)=(u/v)</t>
  </si>
  <si>
    <t>(y) =(b+c+d+e+f)</t>
  </si>
  <si>
    <t>(z) =(i+j+k+l+m+p+q+t)</t>
  </si>
  <si>
    <t>(aa)=(y-z)</t>
  </si>
  <si>
    <t>(ab)=(y/z)</t>
  </si>
  <si>
    <t>(ac) =(b+c)a</t>
  </si>
  <si>
    <t>(ad) =(i+j+p+q+r+s)</t>
  </si>
  <si>
    <t>(ae)=(ac-ad)</t>
  </si>
  <si>
    <t>(af)=(ac/ad)</t>
  </si>
  <si>
    <t>Residential Program</t>
  </si>
  <si>
    <t>Retail Products</t>
  </si>
  <si>
    <t>Income Qualified - Retail Products</t>
  </si>
  <si>
    <t>Income Qualified - Single Family</t>
  </si>
  <si>
    <t>Income Qualified - CAA</t>
  </si>
  <si>
    <t>Income Qualified - Multifamily</t>
  </si>
  <si>
    <t>Income Qualified - Smart Savers</t>
  </si>
  <si>
    <t>Income Qualified - Joint Utility</t>
  </si>
  <si>
    <t>Income Qualified - Community Kits</t>
  </si>
  <si>
    <t>Income Qualified - Healthier Homes</t>
  </si>
  <si>
    <t>Income Qualified - New Construction</t>
  </si>
  <si>
    <t>Income Qualified - Manufactured Homes</t>
  </si>
  <si>
    <t>Income Qualified - Electrification</t>
  </si>
  <si>
    <t>Public Housing</t>
  </si>
  <si>
    <t>Multifamily - Market Rate</t>
  </si>
  <si>
    <t>Single Family - Home Efficiency</t>
  </si>
  <si>
    <t>Single Family - Midstream HVAC</t>
  </si>
  <si>
    <t>DDEP - School Kits</t>
  </si>
  <si>
    <t>DDEP - High School Innovation</t>
  </si>
  <si>
    <t>Market Transformation</t>
  </si>
  <si>
    <t>Non-Participant Spillover</t>
  </si>
  <si>
    <t>N/A</t>
  </si>
  <si>
    <t>Business Program</t>
  </si>
  <si>
    <t>Standard</t>
  </si>
  <si>
    <t>Custom</t>
  </si>
  <si>
    <t>Midstream - Lighting</t>
  </si>
  <si>
    <t>Midstream - HVAC</t>
  </si>
  <si>
    <t>Midstream - Food Service</t>
  </si>
  <si>
    <t>Small Business - Direct Install</t>
  </si>
  <si>
    <t>Small Business - Energy Performance</t>
  </si>
  <si>
    <t>Retro-Commissioning</t>
  </si>
  <si>
    <t>Streetlighting - Municipality Owned</t>
  </si>
  <si>
    <t>Streetlighting - Utility Owned</t>
  </si>
  <si>
    <t>Portfolio Costs</t>
  </si>
  <si>
    <t>Market Development Initiative</t>
  </si>
  <si>
    <t>EM&amp;V</t>
  </si>
  <si>
    <t>Marketing and Education</t>
  </si>
  <si>
    <t>Administrative Expenses</t>
  </si>
  <si>
    <t>Program Implementation</t>
  </si>
  <si>
    <t>AIC 2025 Portfolio</t>
  </si>
  <si>
    <t>AIC 2025 Portfolio (Income Qualified Excluded)</t>
  </si>
  <si>
    <t>*Excludes non-AIC gas and propane savings</t>
  </si>
  <si>
    <t>(s) =(b+c+d+e+f+g)</t>
  </si>
  <si>
    <t>(t) =(h+i+j+k+l+m+n+o+r)</t>
  </si>
  <si>
    <t>(u)=(s-t)</t>
  </si>
  <si>
    <t>(v)=(s/t)</t>
  </si>
  <si>
    <t>(w) =(b+c+d+e+f)</t>
  </si>
  <si>
    <t>(x) =(h+i+j+k+l+n+o+r)</t>
  </si>
  <si>
    <t>(y)=(w-x)</t>
  </si>
  <si>
    <t>(z)=(w/x)</t>
  </si>
  <si>
    <t>(aa) =(b+c)</t>
  </si>
  <si>
    <t>(ab) =(i+j+n+o+p+q)</t>
  </si>
  <si>
    <t>(ac)=(aa-ab)</t>
  </si>
  <si>
    <t>(ad)=(aa/ab)</t>
  </si>
  <si>
    <t>Voltage Optimization</t>
  </si>
  <si>
    <t>2025 Ameren Illinois Company (AIC) Portfolio Cost-Effectiveness Results</t>
  </si>
  <si>
    <t>Tyler Sellner, Rose Williamson, and Zach Ross (Opinion Dynamics)</t>
  </si>
  <si>
    <t>Cost-effectiveness results (including Illinois TRC and PAC/UCT) for the 2025 AIC portfolio</t>
  </si>
  <si>
    <t>SAG Summary spreadsheet for 2025 AIC EE Portfolio cost-effectiveness results (does not include Voltage Optimization)</t>
  </si>
  <si>
    <t>SAG Summary spreadsheet for 2025 AIC Voltage Optimization Program cost-effectiveness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</si>
</sst>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0"/>
      <color rgb="FF000000"/>
      <name val="Franklin Gothic Book"/>
      <family val="2"/>
    </font>
    <font>
      <i/>
      <sz val="11"/>
      <color theme="1"/>
      <name val="Aptos Narrow"/>
      <family val="2"/>
      <scheme val="minor"/>
    </font>
    <font>
      <b/>
      <i/>
      <sz val="10"/>
      <color rgb="FF000000"/>
      <name val="Franklin Gothic Book"/>
      <family val="2"/>
    </font>
    <font>
      <i/>
      <sz val="10"/>
      <name val="Franklin Gothic Medium"/>
      <family val="2"/>
    </font>
    <font>
      <sz val="10"/>
      <color theme="0"/>
      <name val="Franklin Gothic Medium"/>
      <family val="2"/>
    </font>
    <font>
      <sz val="14"/>
      <color theme="1"/>
      <name val="Aptos Narrow"/>
      <family val="2"/>
      <scheme val="minor"/>
    </font>
    <font>
      <i/>
      <sz val="10"/>
      <color theme="0"/>
      <name val="Franklin Gothic Medium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color rgb="FF4A4D56"/>
      <name val="Franklin Gothic Book"/>
      <family val="2"/>
    </font>
    <font>
      <sz val="10"/>
      <color rgb="FF4A4D56"/>
      <name val="Franklin Gothic Book"/>
      <family val="2"/>
    </font>
    <font>
      <b/>
      <sz val="10"/>
      <color rgb="FF4A4D56"/>
      <name val="Franklin Gothic Book"/>
      <family val="2"/>
    </font>
    <font>
      <sz val="11"/>
      <name val="Calibri"/>
      <family val="2"/>
    </font>
    <font>
      <b/>
      <i/>
      <sz val="10"/>
      <color rgb="FF4A4D56"/>
      <name val="Franklin Gothic Book"/>
      <family val="2"/>
    </font>
    <font>
      <sz val="11"/>
      <color rgb="FF4A4D56"/>
      <name val="Times New Roman"/>
      <family val="1"/>
    </font>
    <font>
      <sz val="10"/>
      <color rgb="FF4A4D56"/>
      <name val="Franklin Gothic Medium"/>
      <family val="2"/>
    </font>
    <font>
      <sz val="10"/>
      <color rgb="FF000000"/>
      <name val="Franklin Gothic Book"/>
      <family val="2"/>
    </font>
    <font>
      <i/>
      <sz val="10"/>
      <color rgb="FF000000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5357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rgb="FF4D4D4F"/>
      </left>
      <right style="thin">
        <color rgb="FF4D4D4F"/>
      </right>
      <top/>
      <bottom style="thin">
        <color rgb="FF4D4D4F"/>
      </bottom>
      <diagonal/>
    </border>
    <border>
      <left style="thin">
        <color rgb="FF4D4D4F"/>
      </left>
      <right style="thin">
        <color rgb="FF4D4D4F"/>
      </right>
      <top style="medium">
        <color rgb="FF4D4D4F"/>
      </top>
      <bottom style="thin">
        <color rgb="FF4D4D4F"/>
      </bottom>
      <diagonal/>
    </border>
    <border>
      <left style="thin">
        <color rgb="FF4D4D4F"/>
      </left>
      <right style="thin">
        <color rgb="FF4D4D4F"/>
      </right>
      <top/>
      <bottom/>
      <diagonal/>
    </border>
    <border>
      <left style="thin">
        <color rgb="FF4D4D4F"/>
      </left>
      <right style="thin">
        <color rgb="FF4D4D4F"/>
      </right>
      <top style="thin">
        <color rgb="FF4D4D4F"/>
      </top>
      <bottom/>
      <diagonal/>
    </border>
    <border>
      <left style="thin">
        <color rgb="FF4D4D4F"/>
      </left>
      <right style="thin">
        <color rgb="FF4D4D4F"/>
      </right>
      <top style="thin">
        <color rgb="FF4D4D4F"/>
      </top>
      <bottom style="thin">
        <color rgb="FF4D4D4F"/>
      </bottom>
      <diagonal/>
    </border>
    <border>
      <left style="thin">
        <color rgb="FF4D4D4F"/>
      </left>
      <right style="thin">
        <color rgb="FF4D4D4F"/>
      </right>
      <top style="thin">
        <color rgb="FF4D4D4F"/>
      </top>
      <bottom style="medium">
        <color indexed="64"/>
      </bottom>
      <diagonal/>
    </border>
    <border>
      <left/>
      <right style="thin">
        <color rgb="FF4D4D4F"/>
      </right>
      <top/>
      <bottom/>
      <diagonal/>
    </border>
    <border>
      <left/>
      <right style="thin">
        <color rgb="FF4D4D4F"/>
      </right>
      <top style="thin">
        <color rgb="FF4D4D4F"/>
      </top>
      <bottom style="thin">
        <color rgb="FF4D4D4F"/>
      </bottom>
      <diagonal/>
    </border>
    <border>
      <left/>
      <right/>
      <top style="thin">
        <color rgb="FF4D4D4F"/>
      </top>
      <bottom style="thin">
        <color rgb="FF4D4D4F"/>
      </bottom>
      <diagonal/>
    </border>
    <border>
      <left style="thin">
        <color rgb="FF4D4D4F"/>
      </left>
      <right/>
      <top style="thin">
        <color rgb="FF4D4D4F"/>
      </top>
      <bottom style="thin">
        <color rgb="FF4D4D4F"/>
      </bottom>
      <diagonal/>
    </border>
    <border>
      <left style="thin">
        <color rgb="FF4D4D4F"/>
      </left>
      <right/>
      <top style="thin">
        <color rgb="FF4D4D4F"/>
      </top>
      <bottom/>
      <diagonal/>
    </border>
    <border>
      <left style="thin">
        <color rgb="FF4D4D4F"/>
      </left>
      <right style="thin">
        <color rgb="FF4D4D4F"/>
      </right>
      <top/>
      <bottom style="thin">
        <color indexed="64"/>
      </bottom>
      <diagonal/>
    </border>
    <border>
      <left style="thin">
        <color rgb="FF4D4D4F"/>
      </left>
      <right style="thin">
        <color rgb="FF4D4D4F"/>
      </right>
      <top style="thin">
        <color rgb="FF4D4D4F"/>
      </top>
      <bottom style="thin">
        <color indexed="64"/>
      </bottom>
      <diagonal/>
    </border>
    <border>
      <left/>
      <right style="thin">
        <color rgb="FF4D4D4F"/>
      </right>
      <top style="thin">
        <color rgb="FF4D4D4F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5" fillId="0" borderId="0"/>
    <xf numFmtId="0" fontId="1" fillId="0" borderId="0"/>
  </cellStyleXfs>
  <cellXfs count="7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0" fontId="5" fillId="2" borderId="3" xfId="0" applyFont="1" applyFill="1" applyBorder="1"/>
    <xf numFmtId="0" fontId="3" fillId="2" borderId="3" xfId="0" applyFont="1" applyFill="1" applyBorder="1"/>
    <xf numFmtId="0" fontId="5" fillId="2" borderId="7" xfId="0" applyFont="1" applyFill="1" applyBorder="1"/>
    <xf numFmtId="0" fontId="4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0" xfId="0" applyFont="1"/>
    <xf numFmtId="0" fontId="3" fillId="2" borderId="4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64" fontId="13" fillId="0" borderId="13" xfId="1" applyNumberFormat="1" applyFont="1" applyBorder="1"/>
    <xf numFmtId="164" fontId="14" fillId="2" borderId="12" xfId="0" applyNumberFormat="1" applyFont="1" applyFill="1" applyBorder="1"/>
    <xf numFmtId="0" fontId="14" fillId="2" borderId="12" xfId="0" applyFont="1" applyFill="1" applyBorder="1"/>
    <xf numFmtId="2" fontId="13" fillId="0" borderId="13" xfId="0" applyNumberFormat="1" applyFont="1" applyBorder="1"/>
    <xf numFmtId="0" fontId="6" fillId="4" borderId="5" xfId="0" applyFont="1" applyFill="1" applyBorder="1" applyAlignment="1">
      <alignment horizontal="center" vertical="center"/>
    </xf>
    <xf numFmtId="0" fontId="15" fillId="5" borderId="0" xfId="2" applyFill="1"/>
    <xf numFmtId="0" fontId="0" fillId="5" borderId="0" xfId="0" applyFill="1"/>
    <xf numFmtId="0" fontId="13" fillId="5" borderId="5" xfId="3" applyFont="1" applyFill="1" applyBorder="1"/>
    <xf numFmtId="14" fontId="13" fillId="5" borderId="5" xfId="3" applyNumberFormat="1" applyFont="1" applyFill="1" applyBorder="1" applyAlignment="1">
      <alignment horizontal="left"/>
    </xf>
    <xf numFmtId="0" fontId="7" fillId="6" borderId="4" xfId="3" applyFont="1" applyFill="1" applyBorder="1" applyAlignment="1">
      <alignment horizontal="left" wrapText="1"/>
    </xf>
    <xf numFmtId="0" fontId="13" fillId="5" borderId="4" xfId="3" applyFont="1" applyFill="1" applyBorder="1"/>
    <xf numFmtId="0" fontId="13" fillId="5" borderId="5" xfId="2" applyFont="1" applyFill="1" applyBorder="1"/>
    <xf numFmtId="0" fontId="6" fillId="4" borderId="4" xfId="0" applyFont="1" applyFill="1" applyBorder="1" applyAlignment="1">
      <alignment horizontal="center" vertical="center"/>
    </xf>
    <xf numFmtId="0" fontId="13" fillId="0" borderId="5" xfId="0" applyFont="1" applyBorder="1"/>
    <xf numFmtId="164" fontId="13" fillId="0" borderId="8" xfId="1" applyNumberFormat="1" applyFont="1" applyBorder="1"/>
    <xf numFmtId="164" fontId="13" fillId="0" borderId="5" xfId="1" applyNumberFormat="1" applyFont="1" applyBorder="1"/>
    <xf numFmtId="164" fontId="14" fillId="2" borderId="3" xfId="0" applyNumberFormat="1" applyFont="1" applyFill="1" applyBorder="1"/>
    <xf numFmtId="0" fontId="12" fillId="0" borderId="1" xfId="0" applyFont="1" applyBorder="1" applyAlignment="1">
      <alignment horizontal="left" indent="1"/>
    </xf>
    <xf numFmtId="164" fontId="12" fillId="0" borderId="5" xfId="1" applyNumberFormat="1" applyFont="1" applyBorder="1"/>
    <xf numFmtId="164" fontId="16" fillId="2" borderId="3" xfId="0" applyNumberFormat="1" applyFont="1" applyFill="1" applyBorder="1"/>
    <xf numFmtId="164" fontId="12" fillId="0" borderId="5" xfId="1" applyNumberFormat="1" applyFont="1" applyFill="1" applyBorder="1"/>
    <xf numFmtId="0" fontId="12" fillId="0" borderId="5" xfId="0" applyFont="1" applyBorder="1" applyAlignment="1">
      <alignment horizontal="left" indent="1"/>
    </xf>
    <xf numFmtId="0" fontId="12" fillId="0" borderId="4" xfId="0" applyFont="1" applyBorder="1" applyAlignment="1">
      <alignment horizontal="left" indent="1"/>
    </xf>
    <xf numFmtId="164" fontId="12" fillId="0" borderId="4" xfId="1" applyNumberFormat="1" applyFont="1" applyBorder="1"/>
    <xf numFmtId="0" fontId="13" fillId="0" borderId="2" xfId="0" applyFont="1" applyBorder="1"/>
    <xf numFmtId="164" fontId="13" fillId="0" borderId="2" xfId="1" applyNumberFormat="1" applyFont="1" applyBorder="1"/>
    <xf numFmtId="0" fontId="17" fillId="0" borderId="0" xfId="0" applyFont="1"/>
    <xf numFmtId="164" fontId="18" fillId="2" borderId="1" xfId="0" applyNumberFormat="1" applyFont="1" applyFill="1" applyBorder="1"/>
    <xf numFmtId="0" fontId="13" fillId="0" borderId="13" xfId="0" applyFont="1" applyBorder="1" applyAlignment="1">
      <alignment vertical="center"/>
    </xf>
    <xf numFmtId="164" fontId="19" fillId="0" borderId="5" xfId="1" applyNumberFormat="1" applyFont="1" applyBorder="1"/>
    <xf numFmtId="164" fontId="20" fillId="0" borderId="5" xfId="1" applyNumberFormat="1" applyFont="1" applyBorder="1"/>
    <xf numFmtId="164" fontId="19" fillId="0" borderId="2" xfId="1" applyNumberFormat="1" applyFont="1" applyBorder="1"/>
    <xf numFmtId="164" fontId="3" fillId="0" borderId="2" xfId="1" applyNumberFormat="1" applyFont="1" applyBorder="1"/>
    <xf numFmtId="164" fontId="19" fillId="0" borderId="5" xfId="1" applyNumberFormat="1" applyFont="1" applyFill="1" applyBorder="1"/>
    <xf numFmtId="164" fontId="20" fillId="0" borderId="5" xfId="1" applyNumberFormat="1" applyFont="1" applyFill="1" applyBorder="1"/>
    <xf numFmtId="2" fontId="19" fillId="0" borderId="5" xfId="0" applyNumberFormat="1" applyFont="1" applyBorder="1"/>
    <xf numFmtId="2" fontId="20" fillId="0" borderId="5" xfId="0" applyNumberFormat="1" applyFont="1" applyBorder="1"/>
    <xf numFmtId="164" fontId="19" fillId="0" borderId="6" xfId="1" applyNumberFormat="1" applyFont="1" applyBorder="1"/>
    <xf numFmtId="164" fontId="20" fillId="0" borderId="4" xfId="1" applyNumberFormat="1" applyFont="1" applyBorder="1"/>
    <xf numFmtId="2" fontId="20" fillId="0" borderId="5" xfId="0" applyNumberFormat="1" applyFont="1" applyBorder="1" applyAlignment="1">
      <alignment horizontal="right"/>
    </xf>
    <xf numFmtId="164" fontId="19" fillId="0" borderId="1" xfId="1" applyNumberFormat="1" applyFont="1" applyBorder="1"/>
    <xf numFmtId="2" fontId="19" fillId="0" borderId="2" xfId="0" applyNumberFormat="1" applyFont="1" applyBorder="1"/>
    <xf numFmtId="2" fontId="20" fillId="0" borderId="4" xfId="0" applyNumberFormat="1" applyFont="1" applyBorder="1"/>
    <xf numFmtId="2" fontId="19" fillId="0" borderId="2" xfId="0" applyNumberFormat="1" applyFont="1" applyBorder="1" applyAlignment="1">
      <alignment horizontal="right"/>
    </xf>
    <xf numFmtId="2" fontId="20" fillId="0" borderId="4" xfId="0" applyNumberFormat="1" applyFont="1" applyBorder="1" applyAlignment="1">
      <alignment horizontal="right"/>
    </xf>
    <xf numFmtId="2" fontId="3" fillId="0" borderId="2" xfId="0" applyNumberFormat="1" applyFont="1" applyBorder="1"/>
    <xf numFmtId="0" fontId="3" fillId="2" borderId="1" xfId="0" applyFont="1" applyFill="1" applyBorder="1"/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6" borderId="11" xfId="3" applyFont="1" applyFill="1" applyBorder="1" applyAlignment="1">
      <alignment horizontal="left" wrapText="1"/>
    </xf>
    <xf numFmtId="0" fontId="7" fillId="6" borderId="14" xfId="3" applyFont="1" applyFill="1" applyBorder="1" applyAlignment="1">
      <alignment horizontal="left" wrapText="1"/>
    </xf>
  </cellXfs>
  <cellStyles count="4">
    <cellStyle name="Currency" xfId="1" builtinId="4"/>
    <cellStyle name="Normal" xfId="0" builtinId="0"/>
    <cellStyle name="Normal 10" xfId="3" xr:uid="{7EF34FE0-373E-4660-B324-D9B8ED5DA61E}"/>
    <cellStyle name="Normal 4" xfId="2" xr:uid="{F569D0BB-9D0C-403E-B816-776D7EE7E03B}"/>
  </cellStyles>
  <dxfs count="0"/>
  <tableStyles count="0" defaultTableStyle="TableStyleMedium2" defaultPivotStyle="PivotStyleLight16"/>
  <colors>
    <mruColors>
      <color rgb="FF4A4D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85724</xdr:colOff>
      <xdr:row>0</xdr:row>
      <xdr:rowOff>142874</xdr:rowOff>
    </xdr:from>
    <xdr:ext cx="2946382" cy="914400"/>
    <xdr:pic>
      <xdr:nvPicPr>
        <xdr:cNvPr id="2" name="Picture 1" descr="http://odc-web:85/Marketing/Branding/Logo%20cropped_web.jpg">
          <a:extLst>
            <a:ext uri="{FF2B5EF4-FFF2-40B4-BE49-F238E27FC236}">
              <a16:creationId xmlns:a16="http://schemas.microsoft.com/office/drawing/2014/main" id="{F58EFD39-5B2B-41E7-A8AD-CFFA578D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142874"/>
          <a:ext cx="2946382" cy="914400"/>
        </a:xfrm>
        <a:prstGeom prst="rect">
          <a:avLst/>
        </a:prstGeom>
        <a:noFill/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yler Sellner" id="{457DB396-62FE-4212-89BB-30CC08A0B091}" userId="S::tsellner@opiniondynamics.com::2bdf3598-8692-498c-a5ef-92bbb34f184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rgbClr val="4A4D56"/>
      </a:dk1>
      <a:lt1>
        <a:srgbClr val="FFFFFF"/>
      </a:lt1>
      <a:dk2>
        <a:srgbClr val="053572"/>
      </a:dk2>
      <a:lt2>
        <a:srgbClr val="FFFFFF"/>
      </a:lt2>
      <a:accent1>
        <a:srgbClr val="172B54"/>
      </a:accent1>
      <a:accent2>
        <a:srgbClr val="265EAC"/>
      </a:accent2>
      <a:accent3>
        <a:srgbClr val="1FA9E1"/>
      </a:accent3>
      <a:accent4>
        <a:srgbClr val="7E83C0"/>
      </a:accent4>
      <a:accent5>
        <a:srgbClr val="5661AC"/>
      </a:accent5>
      <a:accent6>
        <a:srgbClr val="FFDFB8"/>
      </a:accent6>
      <a:hlink>
        <a:srgbClr val="4087C7"/>
      </a:hlink>
      <a:folHlink>
        <a:srgbClr val="A1CBE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H43" dT="2025-04-02T16:24:13.01" personId="{457DB396-62FE-4212-89BB-30CC08A0B091}" id="{45E2E590-28DB-418A-8E12-429BFDA8FC1D}">
    <text>We know the only other fuel impacts on the cost side are AIC impacts, so we don’t need to correct out non-AIC therms or propane here like we do on the benefits side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5D1A4-7A7E-4AA0-AA5E-FBAC7E768AD2}">
  <sheetPr>
    <tabColor theme="4"/>
  </sheetPr>
  <dimension ref="A1:B16"/>
  <sheetViews>
    <sheetView tabSelected="1" workbookViewId="0">
      <selection activeCell="F13" sqref="F13"/>
    </sheetView>
  </sheetViews>
  <sheetFormatPr defaultColWidth="9.1796875" defaultRowHeight="14.5" x14ac:dyDescent="0.35"/>
  <cols>
    <col min="1" max="1" width="23.1796875" style="22" bestFit="1" customWidth="1"/>
    <col min="2" max="2" width="107.1796875" style="22" bestFit="1" customWidth="1"/>
    <col min="3" max="16384" width="9.1796875" style="22"/>
  </cols>
  <sheetData>
    <row r="1" spans="1:2" x14ac:dyDescent="0.35">
      <c r="A1" s="21"/>
      <c r="B1" s="21"/>
    </row>
    <row r="2" spans="1:2" x14ac:dyDescent="0.35">
      <c r="A2" s="21"/>
      <c r="B2"/>
    </row>
    <row r="3" spans="1:2" x14ac:dyDescent="0.35">
      <c r="A3" s="21"/>
      <c r="B3" s="21"/>
    </row>
    <row r="4" spans="1:2" x14ac:dyDescent="0.35">
      <c r="A4" s="21"/>
      <c r="B4" s="21"/>
    </row>
    <row r="5" spans="1:2" x14ac:dyDescent="0.35">
      <c r="A5" s="21"/>
      <c r="B5" s="21"/>
    </row>
    <row r="6" spans="1:2" x14ac:dyDescent="0.35">
      <c r="A6" s="21"/>
      <c r="B6" s="21"/>
    </row>
    <row r="7" spans="1:2" x14ac:dyDescent="0.35">
      <c r="A7" s="68" t="s">
        <v>0</v>
      </c>
      <c r="B7" s="69"/>
    </row>
    <row r="8" spans="1:2" x14ac:dyDescent="0.35">
      <c r="A8" s="23" t="s">
        <v>1</v>
      </c>
      <c r="B8" s="23" t="s">
        <v>124</v>
      </c>
    </row>
    <row r="9" spans="1:2" x14ac:dyDescent="0.35">
      <c r="A9" s="23" t="s">
        <v>2</v>
      </c>
      <c r="B9" s="23" t="s">
        <v>125</v>
      </c>
    </row>
    <row r="10" spans="1:2" x14ac:dyDescent="0.35">
      <c r="A10" s="23" t="s">
        <v>3</v>
      </c>
      <c r="B10" s="23" t="s">
        <v>126</v>
      </c>
    </row>
    <row r="11" spans="1:2" x14ac:dyDescent="0.35">
      <c r="A11" s="23" t="s">
        <v>4</v>
      </c>
      <c r="B11" s="24">
        <v>46177</v>
      </c>
    </row>
    <row r="12" spans="1:2" x14ac:dyDescent="0.35">
      <c r="A12" s="21"/>
      <c r="B12" s="21"/>
    </row>
    <row r="13" spans="1:2" x14ac:dyDescent="0.35">
      <c r="A13" s="25" t="s">
        <v>5</v>
      </c>
      <c r="B13" s="25" t="s">
        <v>6</v>
      </c>
    </row>
    <row r="14" spans="1:2" x14ac:dyDescent="0.35">
      <c r="A14" s="26" t="s">
        <v>7</v>
      </c>
      <c r="B14" s="26" t="s">
        <v>8</v>
      </c>
    </row>
    <row r="15" spans="1:2" x14ac:dyDescent="0.35">
      <c r="A15" s="27" t="s">
        <v>9</v>
      </c>
      <c r="B15" s="27" t="s">
        <v>127</v>
      </c>
    </row>
    <row r="16" spans="1:2" x14ac:dyDescent="0.35">
      <c r="A16" s="27" t="s">
        <v>10</v>
      </c>
      <c r="B16" s="27" t="s">
        <v>128</v>
      </c>
    </row>
  </sheetData>
  <mergeCells count="1">
    <mergeCell ref="A7:B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B425D-42E9-4234-AE48-FAE2292F14A6}">
  <sheetPr>
    <pageSetUpPr fitToPage="1"/>
  </sheetPr>
  <dimension ref="A1:AK50"/>
  <sheetViews>
    <sheetView workbookViewId="0">
      <pane xSplit="1" ySplit="3" topLeftCell="Z19" activePane="bottomRight" state="frozen"/>
      <selection pane="topRight" activeCell="B1" sqref="B1"/>
      <selection pane="bottomLeft" activeCell="A4" sqref="A4"/>
      <selection pane="bottomRight" activeCell="AH48" sqref="AH48"/>
    </sheetView>
  </sheetViews>
  <sheetFormatPr defaultRowHeight="14.5" x14ac:dyDescent="0.35"/>
  <cols>
    <col min="1" max="1" width="45.7265625" bestFit="1" customWidth="1"/>
    <col min="2" max="8" width="16.81640625" customWidth="1"/>
    <col min="9" max="9" width="2.1796875" customWidth="1"/>
    <col min="10" max="21" width="16.81640625" customWidth="1"/>
    <col min="22" max="22" width="2.1796875" customWidth="1"/>
    <col min="23" max="23" width="25.1796875" customWidth="1"/>
    <col min="24" max="24" width="27.7265625" customWidth="1"/>
    <col min="25" max="25" width="17.26953125" customWidth="1"/>
    <col min="26" max="26" width="14.26953125" customWidth="1"/>
    <col min="27" max="27" width="2.1796875" customWidth="1"/>
    <col min="28" max="28" width="22.81640625" customWidth="1"/>
    <col min="29" max="29" width="25" customWidth="1"/>
    <col min="30" max="30" width="19.81640625" customWidth="1"/>
    <col min="31" max="31" width="14.1796875" customWidth="1"/>
    <col min="32" max="32" width="2.1796875" customWidth="1"/>
    <col min="33" max="33" width="22.26953125" bestFit="1" customWidth="1"/>
    <col min="34" max="34" width="18.54296875" bestFit="1" customWidth="1"/>
    <col min="35" max="35" width="21" customWidth="1"/>
    <col min="36" max="36" width="20" bestFit="1" customWidth="1"/>
    <col min="37" max="37" width="2.1796875" customWidth="1"/>
  </cols>
  <sheetData>
    <row r="1" spans="1:37" s="12" customFormat="1" ht="18.5" x14ac:dyDescent="0.45">
      <c r="A1" s="66" t="s">
        <v>11</v>
      </c>
      <c r="B1" s="63" t="s">
        <v>12</v>
      </c>
      <c r="C1" s="64"/>
      <c r="D1" s="64"/>
      <c r="E1" s="64"/>
      <c r="F1" s="64"/>
      <c r="G1" s="64"/>
      <c r="H1" s="64"/>
      <c r="I1" s="13"/>
      <c r="J1" s="63" t="s">
        <v>13</v>
      </c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13"/>
      <c r="W1" s="63" t="s">
        <v>14</v>
      </c>
      <c r="X1" s="64"/>
      <c r="Y1" s="64"/>
      <c r="Z1" s="65"/>
      <c r="AA1" s="14"/>
      <c r="AB1" s="63" t="s">
        <v>15</v>
      </c>
      <c r="AC1" s="64"/>
      <c r="AD1" s="64"/>
      <c r="AE1" s="65"/>
      <c r="AF1" s="13"/>
      <c r="AG1" s="63" t="s">
        <v>16</v>
      </c>
      <c r="AH1" s="64"/>
      <c r="AI1" s="64"/>
      <c r="AJ1" s="65"/>
      <c r="AK1" s="13"/>
    </row>
    <row r="2" spans="1:37" ht="27" x14ac:dyDescent="0.35">
      <c r="A2" s="67"/>
      <c r="B2" s="11" t="s">
        <v>17</v>
      </c>
      <c r="C2" s="9" t="s">
        <v>18</v>
      </c>
      <c r="D2" s="9" t="s">
        <v>19</v>
      </c>
      <c r="E2" s="9" t="s">
        <v>20</v>
      </c>
      <c r="F2" s="9" t="s">
        <v>21</v>
      </c>
      <c r="G2" s="9" t="s">
        <v>22</v>
      </c>
      <c r="H2" s="9" t="s">
        <v>23</v>
      </c>
      <c r="I2" s="5"/>
      <c r="J2" s="11" t="s">
        <v>17</v>
      </c>
      <c r="K2" s="9" t="s">
        <v>18</v>
      </c>
      <c r="L2" s="9" t="s">
        <v>19</v>
      </c>
      <c r="M2" s="9" t="s">
        <v>20</v>
      </c>
      <c r="N2" s="9" t="s">
        <v>21</v>
      </c>
      <c r="O2" s="9" t="s">
        <v>22</v>
      </c>
      <c r="P2" s="9" t="s">
        <v>23</v>
      </c>
      <c r="Q2" s="9" t="s">
        <v>24</v>
      </c>
      <c r="R2" s="10" t="s">
        <v>25</v>
      </c>
      <c r="S2" s="10" t="s">
        <v>26</v>
      </c>
      <c r="T2" s="10" t="s">
        <v>27</v>
      </c>
      <c r="U2" s="10" t="s">
        <v>28</v>
      </c>
      <c r="V2" s="5"/>
      <c r="W2" s="9" t="s">
        <v>29</v>
      </c>
      <c r="X2" s="9" t="s">
        <v>30</v>
      </c>
      <c r="Y2" s="9" t="s">
        <v>31</v>
      </c>
      <c r="Z2" s="9" t="s">
        <v>32</v>
      </c>
      <c r="AA2" s="5"/>
      <c r="AB2" s="9" t="s">
        <v>29</v>
      </c>
      <c r="AC2" s="9" t="s">
        <v>30</v>
      </c>
      <c r="AD2" s="9" t="s">
        <v>31</v>
      </c>
      <c r="AE2" s="9" t="s">
        <v>32</v>
      </c>
      <c r="AF2" s="5"/>
      <c r="AG2" s="8" t="s">
        <v>33</v>
      </c>
      <c r="AH2" s="8" t="s">
        <v>34</v>
      </c>
      <c r="AI2" s="8" t="s">
        <v>35</v>
      </c>
      <c r="AJ2" s="8" t="s">
        <v>36</v>
      </c>
      <c r="AK2" s="5"/>
    </row>
    <row r="3" spans="1:37" s="7" customFormat="1" x14ac:dyDescent="0.35">
      <c r="A3" s="28" t="s">
        <v>37</v>
      </c>
      <c r="B3" s="20" t="s">
        <v>38</v>
      </c>
      <c r="C3" s="20" t="s">
        <v>39</v>
      </c>
      <c r="D3" s="20" t="s">
        <v>40</v>
      </c>
      <c r="E3" s="20" t="s">
        <v>41</v>
      </c>
      <c r="F3" s="20" t="s">
        <v>42</v>
      </c>
      <c r="G3" s="20" t="s">
        <v>43</v>
      </c>
      <c r="H3" s="20" t="s">
        <v>44</v>
      </c>
      <c r="I3" s="5"/>
      <c r="J3" s="20" t="s">
        <v>45</v>
      </c>
      <c r="K3" s="20" t="s">
        <v>46</v>
      </c>
      <c r="L3" s="20" t="s">
        <v>47</v>
      </c>
      <c r="M3" s="20" t="s">
        <v>48</v>
      </c>
      <c r="N3" s="20" t="s">
        <v>49</v>
      </c>
      <c r="O3" s="20" t="s">
        <v>50</v>
      </c>
      <c r="P3" s="20" t="s">
        <v>51</v>
      </c>
      <c r="Q3" s="20" t="s">
        <v>52</v>
      </c>
      <c r="R3" s="20" t="s">
        <v>53</v>
      </c>
      <c r="S3" s="20" t="s">
        <v>54</v>
      </c>
      <c r="T3" s="20" t="s">
        <v>55</v>
      </c>
      <c r="U3" s="20" t="s">
        <v>56</v>
      </c>
      <c r="V3" s="5"/>
      <c r="W3" s="20" t="s">
        <v>57</v>
      </c>
      <c r="X3" s="20" t="s">
        <v>58</v>
      </c>
      <c r="Y3" s="20" t="s">
        <v>59</v>
      </c>
      <c r="Z3" s="20" t="s">
        <v>60</v>
      </c>
      <c r="AA3" s="20"/>
      <c r="AB3" s="20" t="s">
        <v>61</v>
      </c>
      <c r="AC3" s="20" t="s">
        <v>62</v>
      </c>
      <c r="AD3" s="20" t="s">
        <v>63</v>
      </c>
      <c r="AE3" s="20" t="s">
        <v>64</v>
      </c>
      <c r="AF3" s="20"/>
      <c r="AG3" s="20" t="s">
        <v>65</v>
      </c>
      <c r="AH3" s="20" t="s">
        <v>66</v>
      </c>
      <c r="AI3" s="20" t="s">
        <v>67</v>
      </c>
      <c r="AJ3" s="20" t="s">
        <v>68</v>
      </c>
      <c r="AK3" s="5"/>
    </row>
    <row r="4" spans="1:37" x14ac:dyDescent="0.35">
      <c r="A4" s="29" t="s">
        <v>69</v>
      </c>
      <c r="B4" s="30">
        <v>58814646.023327455</v>
      </c>
      <c r="C4" s="30">
        <v>11491706.704607945</v>
      </c>
      <c r="D4" s="30">
        <v>15942554.861752003</v>
      </c>
      <c r="E4" s="30">
        <v>12239698.789634677</v>
      </c>
      <c r="F4" s="30">
        <v>35993482.428759575</v>
      </c>
      <c r="G4" s="45">
        <v>30932.000000000004</v>
      </c>
      <c r="H4" s="30">
        <v>5737249.1080476977</v>
      </c>
      <c r="I4" s="32"/>
      <c r="J4" s="31">
        <v>57781.024554198404</v>
      </c>
      <c r="K4" s="31">
        <v>5510696.9759696741</v>
      </c>
      <c r="L4" s="31">
        <v>0</v>
      </c>
      <c r="M4" s="31">
        <v>0</v>
      </c>
      <c r="N4" s="31">
        <v>0</v>
      </c>
      <c r="O4" s="49">
        <v>0</v>
      </c>
      <c r="P4" s="31">
        <v>8260.3981325053082</v>
      </c>
      <c r="Q4" s="31">
        <v>21734125.433300003</v>
      </c>
      <c r="R4" s="31">
        <v>3037748.8568999995</v>
      </c>
      <c r="S4" s="31">
        <v>37480183.975400001</v>
      </c>
      <c r="T4" s="31">
        <v>6898934.879900001</v>
      </c>
      <c r="U4" s="31">
        <v>37048637.582408071</v>
      </c>
      <c r="V4" s="32"/>
      <c r="W4" s="45">
        <f>SUM(B4:H4)</f>
        <v>140250269.91612935</v>
      </c>
      <c r="X4" s="45">
        <f>SUM(J4:U4)-SUM(S4:T4)</f>
        <v>67397250.271264434</v>
      </c>
      <c r="Y4" s="45">
        <f t="shared" ref="Y4:Y42" si="0">W4-X4</f>
        <v>72853019.644864917</v>
      </c>
      <c r="Z4" s="51">
        <f t="shared" ref="Z4:Z23" si="1">W4/X4</f>
        <v>2.0809494356467328</v>
      </c>
      <c r="AA4" s="5"/>
      <c r="AB4" s="45">
        <f>B4+C4+D4+E4+F4</f>
        <v>134482088.80808166</v>
      </c>
      <c r="AC4" s="45">
        <f>SUM(J4:U4)-SUM(S4:T4)-P4</f>
        <v>67388989.873131931</v>
      </c>
      <c r="AD4" s="45">
        <f t="shared" ref="AD4:AD42" si="2">AB4-AC4</f>
        <v>67093098.934949726</v>
      </c>
      <c r="AE4" s="51">
        <f t="shared" ref="AE4:AE35" si="3">AB4/AC4</f>
        <v>1.9956092094756241</v>
      </c>
      <c r="AF4" s="5"/>
      <c r="AG4" s="45">
        <v>68181418.307859823</v>
      </c>
      <c r="AH4" s="45">
        <f>Q4+R4+S4+T4+J4+K4</f>
        <v>74719471.14602387</v>
      </c>
      <c r="AI4" s="45">
        <f t="shared" ref="AI4:AI42" si="4">AG4-AH4</f>
        <v>-6538052.8381640464</v>
      </c>
      <c r="AJ4" s="51">
        <f>AG4/AH4</f>
        <v>0.91249867353334491</v>
      </c>
      <c r="AK4" s="5"/>
    </row>
    <row r="5" spans="1:37" s="3" customFormat="1" x14ac:dyDescent="0.35">
      <c r="A5" s="33" t="s">
        <v>70</v>
      </c>
      <c r="B5" s="34">
        <v>3907085.9145296128</v>
      </c>
      <c r="C5" s="34">
        <v>2383337.4583387105</v>
      </c>
      <c r="D5" s="34">
        <v>416607.43847774982</v>
      </c>
      <c r="E5" s="34">
        <v>94006.861728683085</v>
      </c>
      <c r="F5" s="34">
        <v>3042368.4095688937</v>
      </c>
      <c r="G5" s="46">
        <v>0</v>
      </c>
      <c r="H5" s="34">
        <v>371793.02430078958</v>
      </c>
      <c r="I5" s="35"/>
      <c r="J5" s="34">
        <v>0</v>
      </c>
      <c r="K5" s="36">
        <v>94638.03051304954</v>
      </c>
      <c r="L5" s="36">
        <v>0</v>
      </c>
      <c r="M5" s="36">
        <v>0</v>
      </c>
      <c r="N5" s="36">
        <v>0</v>
      </c>
      <c r="O5" s="50">
        <v>0</v>
      </c>
      <c r="P5" s="36">
        <v>0</v>
      </c>
      <c r="Q5" s="36">
        <v>1827828.4039999999</v>
      </c>
      <c r="R5" s="36">
        <v>204958.46919999993</v>
      </c>
      <c r="S5" s="36">
        <v>1821585.2699999996</v>
      </c>
      <c r="T5" s="36">
        <v>413349.99</v>
      </c>
      <c r="U5" s="36">
        <v>1987436.8319726947</v>
      </c>
      <c r="V5" s="35"/>
      <c r="W5" s="45">
        <f t="shared" ref="W5:W42" si="5">SUM(B5:H5)</f>
        <v>10215199.10694444</v>
      </c>
      <c r="X5" s="45">
        <f>SUM(J5:U5)-SUM(S5:T5)</f>
        <v>4114861.7356857443</v>
      </c>
      <c r="Y5" s="46">
        <f t="shared" si="0"/>
        <v>6100337.3712586956</v>
      </c>
      <c r="Z5" s="52">
        <f t="shared" si="1"/>
        <v>2.4825133292703625</v>
      </c>
      <c r="AA5" s="4"/>
      <c r="AB5" s="45">
        <f t="shared" ref="AB5:AB42" si="6">B5+C5+D5+E5+F5</f>
        <v>9843406.0826436505</v>
      </c>
      <c r="AC5" s="45">
        <f t="shared" ref="AC5:AC43" si="7">SUM(J5:U5)-SUM(S5:T5)-P5</f>
        <v>4114861.7356857443</v>
      </c>
      <c r="AD5" s="46">
        <f t="shared" si="2"/>
        <v>5728544.3469579061</v>
      </c>
      <c r="AE5" s="52">
        <f t="shared" si="3"/>
        <v>2.3921596191866312</v>
      </c>
      <c r="AF5" s="4"/>
      <c r="AG5" s="45">
        <v>5551610.5469543021</v>
      </c>
      <c r="AH5" s="45">
        <f t="shared" ref="AH5:AH42" si="8">Q5+R5+S5+T5+J5+K5</f>
        <v>4362360.1637130482</v>
      </c>
      <c r="AI5" s="46">
        <f t="shared" si="4"/>
        <v>1189250.3832412539</v>
      </c>
      <c r="AJ5" s="52">
        <f t="shared" ref="AJ5:AJ35" si="9">AG5/AH5</f>
        <v>1.2726162761923392</v>
      </c>
      <c r="AK5" s="4"/>
    </row>
    <row r="6" spans="1:37" s="3" customFormat="1" x14ac:dyDescent="0.35">
      <c r="A6" s="37" t="s">
        <v>71</v>
      </c>
      <c r="B6" s="34">
        <v>32072309.41819185</v>
      </c>
      <c r="C6" s="34">
        <v>1463645.1285924937</v>
      </c>
      <c r="D6" s="34">
        <v>289407.03950238833</v>
      </c>
      <c r="E6" s="34">
        <v>10705133.717643056</v>
      </c>
      <c r="F6" s="34">
        <v>14598825.420871623</v>
      </c>
      <c r="G6" s="46">
        <v>0</v>
      </c>
      <c r="H6" s="34">
        <v>3054985.6818044246</v>
      </c>
      <c r="I6" s="35"/>
      <c r="J6" s="34">
        <v>0</v>
      </c>
      <c r="K6" s="36">
        <v>5004968.439530381</v>
      </c>
      <c r="L6" s="36">
        <v>0</v>
      </c>
      <c r="M6" s="36">
        <v>0</v>
      </c>
      <c r="N6" s="36">
        <v>0</v>
      </c>
      <c r="O6" s="50">
        <v>0</v>
      </c>
      <c r="P6" s="36">
        <v>0</v>
      </c>
      <c r="Q6" s="36">
        <v>1849260.3099</v>
      </c>
      <c r="R6" s="36">
        <v>88157.194300000003</v>
      </c>
      <c r="S6" s="36">
        <v>6765230.4500000002</v>
      </c>
      <c r="T6" s="36">
        <v>268405.19999999995</v>
      </c>
      <c r="U6" s="36">
        <v>6351528.5335317431</v>
      </c>
      <c r="V6" s="35"/>
      <c r="W6" s="45">
        <f t="shared" si="5"/>
        <v>62184306.40660584</v>
      </c>
      <c r="X6" s="45">
        <f t="shared" ref="X6:X42" si="10">SUM(J6:U6)-SUM(S6:T6)</f>
        <v>13293914.477262123</v>
      </c>
      <c r="Y6" s="46">
        <f t="shared" si="0"/>
        <v>48890391.929343715</v>
      </c>
      <c r="Z6" s="52">
        <f t="shared" si="1"/>
        <v>4.6776520574858305</v>
      </c>
      <c r="AA6" s="4"/>
      <c r="AB6" s="45">
        <f t="shared" si="6"/>
        <v>59129320.724801414</v>
      </c>
      <c r="AC6" s="45">
        <f t="shared" si="7"/>
        <v>13293914.477262123</v>
      </c>
      <c r="AD6" s="46">
        <f t="shared" si="2"/>
        <v>45835406.247539289</v>
      </c>
      <c r="AE6" s="52">
        <f t="shared" si="3"/>
        <v>4.4478487375510092</v>
      </c>
      <c r="AF6" s="4"/>
      <c r="AG6" s="45">
        <v>33275290.342331983</v>
      </c>
      <c r="AH6" s="45">
        <f t="shared" si="8"/>
        <v>13976021.593730379</v>
      </c>
      <c r="AI6" s="46">
        <f t="shared" si="4"/>
        <v>19299268.748601604</v>
      </c>
      <c r="AJ6" s="52">
        <f t="shared" si="9"/>
        <v>2.3808842966627375</v>
      </c>
      <c r="AK6" s="4"/>
    </row>
    <row r="7" spans="1:37" s="3" customFormat="1" x14ac:dyDescent="0.35">
      <c r="A7" s="38" t="s">
        <v>72</v>
      </c>
      <c r="B7" s="34">
        <v>4967030.0348084373</v>
      </c>
      <c r="C7" s="34">
        <v>3068735.4152910556</v>
      </c>
      <c r="D7" s="34">
        <v>187770.23847506018</v>
      </c>
      <c r="E7" s="34">
        <v>532114.0253507602</v>
      </c>
      <c r="F7" s="34">
        <v>4409762.9385262867</v>
      </c>
      <c r="G7" s="46">
        <v>24192.080000000002</v>
      </c>
      <c r="H7" s="34">
        <v>451495.82868515927</v>
      </c>
      <c r="I7" s="35"/>
      <c r="J7" s="34">
        <v>5018.3527524416704</v>
      </c>
      <c r="K7" s="36">
        <v>146090.62038605235</v>
      </c>
      <c r="L7" s="36">
        <v>0</v>
      </c>
      <c r="M7" s="36">
        <v>0</v>
      </c>
      <c r="N7" s="36">
        <v>0</v>
      </c>
      <c r="O7" s="50">
        <v>0</v>
      </c>
      <c r="P7" s="36">
        <v>0</v>
      </c>
      <c r="Q7" s="36">
        <v>8885727.1177000012</v>
      </c>
      <c r="R7" s="36">
        <v>1480915.5867999999</v>
      </c>
      <c r="S7" s="36">
        <v>13731022.139999999</v>
      </c>
      <c r="T7" s="36">
        <v>4121013.1384000005</v>
      </c>
      <c r="U7" s="36">
        <v>13008000.062583346</v>
      </c>
      <c r="V7" s="35"/>
      <c r="W7" s="45">
        <f t="shared" si="5"/>
        <v>13641100.56113676</v>
      </c>
      <c r="X7" s="45">
        <f t="shared" si="10"/>
        <v>23525751.740221839</v>
      </c>
      <c r="Y7" s="46">
        <f t="shared" si="0"/>
        <v>-9884651.1790850796</v>
      </c>
      <c r="Z7" s="52">
        <f t="shared" si="1"/>
        <v>0.57983696809206098</v>
      </c>
      <c r="AA7" s="4"/>
      <c r="AB7" s="45">
        <f t="shared" si="6"/>
        <v>13165412.652451601</v>
      </c>
      <c r="AC7" s="45">
        <f t="shared" si="7"/>
        <v>23525751.740221839</v>
      </c>
      <c r="AD7" s="46">
        <f t="shared" si="2"/>
        <v>-10360339.087770239</v>
      </c>
      <c r="AE7" s="52">
        <f t="shared" si="3"/>
        <v>0.55961708674935873</v>
      </c>
      <c r="AF7" s="4"/>
      <c r="AG7" s="45">
        <v>7760456.5135509297</v>
      </c>
      <c r="AH7" s="45">
        <f t="shared" si="8"/>
        <v>28369786.956038494</v>
      </c>
      <c r="AI7" s="46">
        <f t="shared" si="4"/>
        <v>-20609330.442487564</v>
      </c>
      <c r="AJ7" s="52">
        <f t="shared" si="9"/>
        <v>0.2735465206551056</v>
      </c>
      <c r="AK7" s="6"/>
    </row>
    <row r="8" spans="1:37" s="3" customFormat="1" x14ac:dyDescent="0.35">
      <c r="A8" s="38" t="s">
        <v>73</v>
      </c>
      <c r="B8" s="34">
        <v>874657.2493798366</v>
      </c>
      <c r="C8" s="34">
        <v>557827.30523916637</v>
      </c>
      <c r="D8" s="34">
        <v>94813.157835570921</v>
      </c>
      <c r="E8" s="34">
        <v>39730.16399759717</v>
      </c>
      <c r="F8" s="34">
        <v>973761.65768213395</v>
      </c>
      <c r="G8" s="46">
        <v>3695.5600000000004</v>
      </c>
      <c r="H8" s="34">
        <v>98802.06577479493</v>
      </c>
      <c r="I8" s="35"/>
      <c r="J8" s="34">
        <v>445.31444590219849</v>
      </c>
      <c r="K8" s="36">
        <v>5990.7786619974604</v>
      </c>
      <c r="L8" s="36">
        <v>0</v>
      </c>
      <c r="M8" s="36">
        <v>0</v>
      </c>
      <c r="N8" s="36">
        <v>0</v>
      </c>
      <c r="O8" s="50">
        <v>0</v>
      </c>
      <c r="P8" s="36">
        <v>0</v>
      </c>
      <c r="Q8" s="36">
        <v>1383098.5381</v>
      </c>
      <c r="R8" s="36">
        <v>223447.92990000002</v>
      </c>
      <c r="S8" s="36">
        <v>1462595.3599999999</v>
      </c>
      <c r="T8" s="36">
        <v>737874.78</v>
      </c>
      <c r="U8" s="36">
        <v>3270433.9819999998</v>
      </c>
      <c r="V8" s="35"/>
      <c r="W8" s="45">
        <f t="shared" si="5"/>
        <v>2643287.1599091003</v>
      </c>
      <c r="X8" s="45">
        <f t="shared" si="10"/>
        <v>4883416.5431078998</v>
      </c>
      <c r="Y8" s="46">
        <f t="shared" si="0"/>
        <v>-2240129.3831987996</v>
      </c>
      <c r="Z8" s="52">
        <f t="shared" si="1"/>
        <v>0.5412782498842218</v>
      </c>
      <c r="AA8" s="4"/>
      <c r="AB8" s="45">
        <f t="shared" si="6"/>
        <v>2540789.5341343051</v>
      </c>
      <c r="AC8" s="45">
        <f t="shared" si="7"/>
        <v>4883416.5431078998</v>
      </c>
      <c r="AD8" s="46">
        <f t="shared" si="2"/>
        <v>-2342627.0089735948</v>
      </c>
      <c r="AE8" s="52">
        <f t="shared" si="3"/>
        <v>0.52028933262311838</v>
      </c>
      <c r="AF8" s="4"/>
      <c r="AG8" s="45">
        <v>1431969.7798672228</v>
      </c>
      <c r="AH8" s="45">
        <f t="shared" si="8"/>
        <v>3813452.7011078997</v>
      </c>
      <c r="AI8" s="46">
        <f t="shared" si="4"/>
        <v>-2381482.9212406771</v>
      </c>
      <c r="AJ8" s="52">
        <f t="shared" si="9"/>
        <v>0.37550479633619188</v>
      </c>
      <c r="AK8" s="6"/>
    </row>
    <row r="9" spans="1:37" s="3" customFormat="1" x14ac:dyDescent="0.35">
      <c r="A9" s="38" t="s">
        <v>74</v>
      </c>
      <c r="B9" s="34">
        <v>3685832.4752455037</v>
      </c>
      <c r="C9" s="34">
        <v>334076.70020528551</v>
      </c>
      <c r="D9" s="34">
        <v>1905657.4796605799</v>
      </c>
      <c r="E9" s="34">
        <v>99310.516657984932</v>
      </c>
      <c r="F9" s="34">
        <v>3501151.5063264533</v>
      </c>
      <c r="G9" s="46">
        <v>0</v>
      </c>
      <c r="H9" s="34">
        <v>493001.15036682005</v>
      </c>
      <c r="I9" s="35"/>
      <c r="J9" s="34">
        <v>30893.281327055185</v>
      </c>
      <c r="K9" s="36">
        <v>17818.311658039882</v>
      </c>
      <c r="L9" s="36">
        <v>0</v>
      </c>
      <c r="M9" s="36">
        <v>0</v>
      </c>
      <c r="N9" s="36">
        <v>0</v>
      </c>
      <c r="O9" s="50">
        <v>0</v>
      </c>
      <c r="P9" s="36">
        <v>0</v>
      </c>
      <c r="Q9" s="36">
        <v>2405615.9214999997</v>
      </c>
      <c r="R9" s="36">
        <v>331702.02840000007</v>
      </c>
      <c r="S9" s="36">
        <v>5835782.2950999998</v>
      </c>
      <c r="T9" s="36">
        <v>278518.67139999999</v>
      </c>
      <c r="U9" s="36">
        <v>5065377.0689999992</v>
      </c>
      <c r="V9" s="35"/>
      <c r="W9" s="45">
        <f t="shared" si="5"/>
        <v>10019029.828462627</v>
      </c>
      <c r="X9" s="45">
        <f t="shared" si="10"/>
        <v>7851406.6118850922</v>
      </c>
      <c r="Y9" s="46">
        <f t="shared" si="0"/>
        <v>2167623.2165775346</v>
      </c>
      <c r="Z9" s="52">
        <f>W9/X9</f>
        <v>1.2760808761701741</v>
      </c>
      <c r="AA9" s="4"/>
      <c r="AB9" s="45">
        <f t="shared" si="6"/>
        <v>9526028.6780958064</v>
      </c>
      <c r="AC9" s="45">
        <f t="shared" si="7"/>
        <v>7851406.6118850922</v>
      </c>
      <c r="AD9" s="46">
        <f t="shared" si="2"/>
        <v>1674622.0662107142</v>
      </c>
      <c r="AE9" s="52">
        <f t="shared" si="3"/>
        <v>1.2132894332177051</v>
      </c>
      <c r="AF9" s="4"/>
      <c r="AG9" s="45">
        <v>4017413.3613215801</v>
      </c>
      <c r="AH9" s="45">
        <f t="shared" si="8"/>
        <v>8900330.509385094</v>
      </c>
      <c r="AI9" s="46">
        <f t="shared" si="4"/>
        <v>-4882917.1480635144</v>
      </c>
      <c r="AJ9" s="52">
        <f t="shared" si="9"/>
        <v>0.45137799737721596</v>
      </c>
      <c r="AK9" s="6"/>
    </row>
    <row r="10" spans="1:37" s="3" customFormat="1" x14ac:dyDescent="0.35">
      <c r="A10" s="37" t="s">
        <v>75</v>
      </c>
      <c r="B10" s="34">
        <v>530673.32003469858</v>
      </c>
      <c r="C10" s="34">
        <v>423217.96862131456</v>
      </c>
      <c r="D10" s="34">
        <v>0</v>
      </c>
      <c r="E10" s="34">
        <v>0</v>
      </c>
      <c r="F10" s="34">
        <v>484623.83658907516</v>
      </c>
      <c r="G10" s="46">
        <v>0</v>
      </c>
      <c r="H10" s="34">
        <v>50270.404762531245</v>
      </c>
      <c r="I10" s="35"/>
      <c r="J10" s="34">
        <v>0</v>
      </c>
      <c r="K10" s="36">
        <v>0</v>
      </c>
      <c r="L10" s="36">
        <v>0</v>
      </c>
      <c r="M10" s="36">
        <v>0</v>
      </c>
      <c r="N10" s="36">
        <v>0</v>
      </c>
      <c r="O10" s="50">
        <v>0</v>
      </c>
      <c r="P10" s="36">
        <v>0</v>
      </c>
      <c r="Q10" s="36">
        <v>429315.48729999998</v>
      </c>
      <c r="R10" s="36">
        <v>41426.639099999993</v>
      </c>
      <c r="S10" s="36">
        <v>504353.32290000003</v>
      </c>
      <c r="T10" s="36">
        <v>19391.479800000001</v>
      </c>
      <c r="U10" s="36">
        <v>403445.58999999991</v>
      </c>
      <c r="V10" s="35"/>
      <c r="W10" s="45">
        <f t="shared" si="5"/>
        <v>1488785.5300076194</v>
      </c>
      <c r="X10" s="45">
        <f t="shared" si="10"/>
        <v>874187.71639999992</v>
      </c>
      <c r="Y10" s="46">
        <f t="shared" si="0"/>
        <v>614597.81360761949</v>
      </c>
      <c r="Z10" s="52">
        <f t="shared" si="1"/>
        <v>1.7030501596826366</v>
      </c>
      <c r="AA10" s="4"/>
      <c r="AB10" s="45">
        <f t="shared" si="6"/>
        <v>1438515.1252450882</v>
      </c>
      <c r="AC10" s="45">
        <f t="shared" si="7"/>
        <v>874187.71639999992</v>
      </c>
      <c r="AD10" s="46">
        <f t="shared" si="2"/>
        <v>564327.40884508833</v>
      </c>
      <c r="AE10" s="52">
        <f t="shared" si="3"/>
        <v>1.6455448849922645</v>
      </c>
      <c r="AF10" s="4"/>
      <c r="AG10" s="45">
        <v>921712.94542290247</v>
      </c>
      <c r="AH10" s="45">
        <f t="shared" si="8"/>
        <v>994486.92909999995</v>
      </c>
      <c r="AI10" s="46">
        <f t="shared" si="4"/>
        <v>-72773.98367709748</v>
      </c>
      <c r="AJ10" s="52">
        <f t="shared" si="9"/>
        <v>0.92682258404043871</v>
      </c>
      <c r="AK10" s="4"/>
    </row>
    <row r="11" spans="1:37" s="3" customFormat="1" x14ac:dyDescent="0.35">
      <c r="A11" s="37" t="s">
        <v>76</v>
      </c>
      <c r="B11" s="34">
        <v>187339.11154230547</v>
      </c>
      <c r="C11" s="34">
        <v>0</v>
      </c>
      <c r="D11" s="34">
        <v>12743.084106037764</v>
      </c>
      <c r="E11" s="34">
        <v>1647.274529459203</v>
      </c>
      <c r="F11" s="34">
        <v>44249.442633985622</v>
      </c>
      <c r="G11" s="46">
        <v>634.92000000000007</v>
      </c>
      <c r="H11" s="34">
        <v>6217.0697006650271</v>
      </c>
      <c r="I11" s="35"/>
      <c r="J11" s="34">
        <v>0</v>
      </c>
      <c r="K11" s="36">
        <v>396.00997005283205</v>
      </c>
      <c r="L11" s="36">
        <v>0</v>
      </c>
      <c r="M11" s="36">
        <v>0</v>
      </c>
      <c r="N11" s="36">
        <v>0</v>
      </c>
      <c r="O11" s="50">
        <v>0</v>
      </c>
      <c r="P11" s="36">
        <v>0</v>
      </c>
      <c r="Q11" s="36">
        <v>188859.26379999999</v>
      </c>
      <c r="R11" s="36">
        <v>0</v>
      </c>
      <c r="S11" s="36">
        <v>140653.49119999999</v>
      </c>
      <c r="T11" s="36">
        <v>0</v>
      </c>
      <c r="U11" s="36">
        <v>122438.10999999999</v>
      </c>
      <c r="V11" s="35"/>
      <c r="W11" s="45">
        <f t="shared" si="5"/>
        <v>252830.90251245312</v>
      </c>
      <c r="X11" s="45">
        <f t="shared" si="10"/>
        <v>311693.38377005281</v>
      </c>
      <c r="Y11" s="46">
        <f t="shared" si="0"/>
        <v>-58862.481257599691</v>
      </c>
      <c r="Z11" s="52">
        <f t="shared" si="1"/>
        <v>0.81115261239864933</v>
      </c>
      <c r="AA11" s="4"/>
      <c r="AB11" s="45">
        <f t="shared" si="6"/>
        <v>245978.91281178809</v>
      </c>
      <c r="AC11" s="45">
        <f t="shared" si="7"/>
        <v>311693.38377005281</v>
      </c>
      <c r="AD11" s="46">
        <f t="shared" si="2"/>
        <v>-65714.470958264719</v>
      </c>
      <c r="AE11" s="52">
        <f t="shared" si="3"/>
        <v>0.78916950317192291</v>
      </c>
      <c r="AF11" s="4"/>
      <c r="AG11" s="45">
        <v>187339.11154230547</v>
      </c>
      <c r="AH11" s="45">
        <f t="shared" si="8"/>
        <v>329908.76497005281</v>
      </c>
      <c r="AI11" s="46">
        <f t="shared" si="4"/>
        <v>-142569.65342774734</v>
      </c>
      <c r="AJ11" s="52">
        <f t="shared" si="9"/>
        <v>0.5678512711213084</v>
      </c>
      <c r="AK11" s="4"/>
    </row>
    <row r="12" spans="1:37" s="3" customFormat="1" x14ac:dyDescent="0.35">
      <c r="A12" s="37" t="s">
        <v>77</v>
      </c>
      <c r="B12" s="34">
        <v>999606.16179429472</v>
      </c>
      <c r="C12" s="34">
        <v>329648.18492514262</v>
      </c>
      <c r="D12" s="34">
        <v>2233655.2412377335</v>
      </c>
      <c r="E12" s="34">
        <v>175832.67449283658</v>
      </c>
      <c r="F12" s="34">
        <v>777839.78507339384</v>
      </c>
      <c r="G12" s="46">
        <v>0</v>
      </c>
      <c r="H12" s="34">
        <v>112593.58598050788</v>
      </c>
      <c r="I12" s="35"/>
      <c r="J12" s="34">
        <v>0</v>
      </c>
      <c r="K12" s="36">
        <v>45324.820517765489</v>
      </c>
      <c r="L12" s="36">
        <v>0</v>
      </c>
      <c r="M12" s="36">
        <v>0</v>
      </c>
      <c r="N12" s="36">
        <v>0</v>
      </c>
      <c r="O12" s="50">
        <v>0</v>
      </c>
      <c r="P12" s="36">
        <v>0</v>
      </c>
      <c r="Q12" s="36">
        <v>524910.97860000003</v>
      </c>
      <c r="R12" s="36">
        <v>72332.80190000002</v>
      </c>
      <c r="S12" s="36">
        <v>214018.45630000002</v>
      </c>
      <c r="T12" s="36">
        <v>93374.760200000004</v>
      </c>
      <c r="U12" s="36">
        <v>283230</v>
      </c>
      <c r="V12" s="35"/>
      <c r="W12" s="45">
        <f t="shared" si="5"/>
        <v>4629175.6335039083</v>
      </c>
      <c r="X12" s="45">
        <f t="shared" si="10"/>
        <v>925798.60101776524</v>
      </c>
      <c r="Y12" s="46">
        <f t="shared" si="0"/>
        <v>3703377.0324861431</v>
      </c>
      <c r="Z12" s="52">
        <f t="shared" si="1"/>
        <v>5.0001972658144886</v>
      </c>
      <c r="AA12" s="4"/>
      <c r="AB12" s="45">
        <f t="shared" si="6"/>
        <v>4516582.0475234007</v>
      </c>
      <c r="AC12" s="45">
        <f t="shared" si="7"/>
        <v>925798.60101776524</v>
      </c>
      <c r="AD12" s="46">
        <f t="shared" si="2"/>
        <v>3590783.4465056355</v>
      </c>
      <c r="AE12" s="52">
        <f t="shared" si="3"/>
        <v>4.8785794691827702</v>
      </c>
      <c r="AF12" s="4"/>
      <c r="AG12" s="45">
        <v>1329254.3467194373</v>
      </c>
      <c r="AH12" s="45">
        <f t="shared" si="8"/>
        <v>949961.81751776556</v>
      </c>
      <c r="AI12" s="46">
        <f t="shared" si="4"/>
        <v>379292.52920167171</v>
      </c>
      <c r="AJ12" s="52">
        <f t="shared" si="9"/>
        <v>1.3992713414448139</v>
      </c>
      <c r="AK12" s="4"/>
    </row>
    <row r="13" spans="1:37" s="3" customFormat="1" x14ac:dyDescent="0.35">
      <c r="A13" s="37" t="s">
        <v>78</v>
      </c>
      <c r="B13" s="34">
        <v>56226.181013401285</v>
      </c>
      <c r="C13" s="34">
        <v>58734.059657853344</v>
      </c>
      <c r="D13" s="34">
        <v>1287.1978406119292</v>
      </c>
      <c r="E13" s="34">
        <v>287.88435990121866</v>
      </c>
      <c r="F13" s="34">
        <v>74963.62916990435</v>
      </c>
      <c r="G13" s="46">
        <v>325.60000000000002</v>
      </c>
      <c r="H13" s="34">
        <v>6319.7088412895419</v>
      </c>
      <c r="I13" s="35"/>
      <c r="J13" s="34">
        <v>0</v>
      </c>
      <c r="K13" s="36">
        <v>311.31407745436695</v>
      </c>
      <c r="L13" s="36">
        <v>0</v>
      </c>
      <c r="M13" s="36">
        <v>0</v>
      </c>
      <c r="N13" s="36">
        <v>0</v>
      </c>
      <c r="O13" s="50">
        <v>0</v>
      </c>
      <c r="P13" s="36">
        <v>0</v>
      </c>
      <c r="Q13" s="36">
        <v>520823.97320000001</v>
      </c>
      <c r="R13" s="36">
        <v>67022.446000000011</v>
      </c>
      <c r="S13" s="36">
        <v>750443.22</v>
      </c>
      <c r="T13" s="36">
        <v>-180</v>
      </c>
      <c r="U13" s="36">
        <v>623594.08999999985</v>
      </c>
      <c r="V13" s="35"/>
      <c r="W13" s="45">
        <f t="shared" si="5"/>
        <v>198144.26088296168</v>
      </c>
      <c r="X13" s="45">
        <f t="shared" si="10"/>
        <v>1211751.8232774541</v>
      </c>
      <c r="Y13" s="46">
        <f t="shared" si="0"/>
        <v>-1013607.5623944924</v>
      </c>
      <c r="Z13" s="52">
        <f t="shared" si="1"/>
        <v>0.16351884690962226</v>
      </c>
      <c r="AA13" s="4"/>
      <c r="AB13" s="45">
        <f t="shared" si="6"/>
        <v>191498.95204167214</v>
      </c>
      <c r="AC13" s="45">
        <f t="shared" si="7"/>
        <v>1211751.8232774541</v>
      </c>
      <c r="AD13" s="46">
        <f t="shared" si="2"/>
        <v>-1020252.871235782</v>
      </c>
      <c r="AE13" s="52">
        <f t="shared" si="3"/>
        <v>0.15803479587405972</v>
      </c>
      <c r="AF13" s="4"/>
      <c r="AG13" s="45">
        <v>114960.24067125464</v>
      </c>
      <c r="AH13" s="45">
        <f t="shared" si="8"/>
        <v>1338420.9532774545</v>
      </c>
      <c r="AI13" s="46">
        <f t="shared" si="4"/>
        <v>-1223460.7126061998</v>
      </c>
      <c r="AJ13" s="52">
        <f t="shared" si="9"/>
        <v>8.5892439437492418E-2</v>
      </c>
      <c r="AK13" s="4"/>
    </row>
    <row r="14" spans="1:37" s="3" customFormat="1" x14ac:dyDescent="0.35">
      <c r="A14" s="37" t="s">
        <v>79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46">
        <v>0</v>
      </c>
      <c r="H14" s="34">
        <v>0</v>
      </c>
      <c r="I14" s="35"/>
      <c r="J14" s="34">
        <v>0</v>
      </c>
      <c r="K14" s="36">
        <v>0</v>
      </c>
      <c r="L14" s="36">
        <v>0</v>
      </c>
      <c r="M14" s="36">
        <v>0</v>
      </c>
      <c r="N14" s="36">
        <v>0</v>
      </c>
      <c r="O14" s="50">
        <v>0</v>
      </c>
      <c r="P14" s="36">
        <v>0</v>
      </c>
      <c r="Q14" s="36">
        <v>8407.2489000000005</v>
      </c>
      <c r="R14" s="36">
        <v>0</v>
      </c>
      <c r="S14" s="36">
        <v>0</v>
      </c>
      <c r="T14" s="36">
        <v>0</v>
      </c>
      <c r="U14" s="36">
        <v>0</v>
      </c>
      <c r="V14" s="35"/>
      <c r="W14" s="45">
        <f t="shared" si="5"/>
        <v>0</v>
      </c>
      <c r="X14" s="45">
        <f t="shared" si="10"/>
        <v>8407.2489000000005</v>
      </c>
      <c r="Y14" s="46">
        <f t="shared" si="0"/>
        <v>-8407.2489000000005</v>
      </c>
      <c r="Z14" s="52">
        <f t="shared" si="1"/>
        <v>0</v>
      </c>
      <c r="AA14" s="4"/>
      <c r="AB14" s="45">
        <f t="shared" si="6"/>
        <v>0</v>
      </c>
      <c r="AC14" s="45">
        <f t="shared" si="7"/>
        <v>8407.2489000000005</v>
      </c>
      <c r="AD14" s="46">
        <f t="shared" si="2"/>
        <v>-8407.2489000000005</v>
      </c>
      <c r="AE14" s="52">
        <f t="shared" si="3"/>
        <v>0</v>
      </c>
      <c r="AF14" s="4"/>
      <c r="AG14" s="45">
        <v>0</v>
      </c>
      <c r="AH14" s="45">
        <f t="shared" si="8"/>
        <v>8407.2489000000005</v>
      </c>
      <c r="AI14" s="46">
        <f t="shared" si="4"/>
        <v>-8407.2489000000005</v>
      </c>
      <c r="AJ14" s="52">
        <f t="shared" si="9"/>
        <v>0</v>
      </c>
      <c r="AK14" s="4"/>
    </row>
    <row r="15" spans="1:37" s="3" customFormat="1" x14ac:dyDescent="0.35">
      <c r="A15" s="37" t="s">
        <v>80</v>
      </c>
      <c r="B15" s="34">
        <v>261966.87633564786</v>
      </c>
      <c r="C15" s="34">
        <v>322720.25195907906</v>
      </c>
      <c r="D15" s="34">
        <v>66045.036869775518</v>
      </c>
      <c r="E15" s="34">
        <v>11800.326154852586</v>
      </c>
      <c r="F15" s="34">
        <v>409205.21392553399</v>
      </c>
      <c r="G15" s="46">
        <v>1807.0800000000002</v>
      </c>
      <c r="H15" s="34">
        <v>35908.70525228099</v>
      </c>
      <c r="I15" s="35"/>
      <c r="J15" s="34">
        <v>0</v>
      </c>
      <c r="K15" s="36">
        <v>4566.8332789356782</v>
      </c>
      <c r="L15" s="36">
        <v>0</v>
      </c>
      <c r="M15" s="36">
        <v>0</v>
      </c>
      <c r="N15" s="36">
        <v>0</v>
      </c>
      <c r="O15" s="50">
        <v>0</v>
      </c>
      <c r="P15" s="36">
        <v>0</v>
      </c>
      <c r="Q15" s="36">
        <v>930420.34350000019</v>
      </c>
      <c r="R15" s="36">
        <v>141812.27489999999</v>
      </c>
      <c r="S15" s="36">
        <v>914091.40000000026</v>
      </c>
      <c r="T15" s="36">
        <v>360716.95000000013</v>
      </c>
      <c r="U15" s="36">
        <v>1963956.5546905538</v>
      </c>
      <c r="V15" s="35"/>
      <c r="W15" s="45">
        <f t="shared" si="5"/>
        <v>1109453.49049717</v>
      </c>
      <c r="X15" s="45">
        <f t="shared" si="10"/>
        <v>3040756.0063694892</v>
      </c>
      <c r="Y15" s="46">
        <f t="shared" si="0"/>
        <v>-1931302.5158723192</v>
      </c>
      <c r="Z15" s="52">
        <f t="shared" si="1"/>
        <v>0.36486107013295094</v>
      </c>
      <c r="AA15" s="4"/>
      <c r="AB15" s="45">
        <f t="shared" si="6"/>
        <v>1071737.705244889</v>
      </c>
      <c r="AC15" s="45">
        <f t="shared" si="7"/>
        <v>3040756.0063694892</v>
      </c>
      <c r="AD15" s="46">
        <f t="shared" si="2"/>
        <v>-1969018.3011246002</v>
      </c>
      <c r="AE15" s="52">
        <f t="shared" si="3"/>
        <v>0.35245764638790938</v>
      </c>
      <c r="AF15" s="4"/>
      <c r="AG15" s="45">
        <v>570293.17816202284</v>
      </c>
      <c r="AH15" s="45">
        <f t="shared" si="8"/>
        <v>2351607.8016789365</v>
      </c>
      <c r="AI15" s="46">
        <f t="shared" si="4"/>
        <v>-1781314.6235169135</v>
      </c>
      <c r="AJ15" s="52">
        <f t="shared" si="9"/>
        <v>0.2425120284746719</v>
      </c>
      <c r="AK15" s="4"/>
    </row>
    <row r="16" spans="1:37" s="3" customFormat="1" x14ac:dyDescent="0.35">
      <c r="A16" s="37" t="s">
        <v>81</v>
      </c>
      <c r="B16" s="34">
        <v>15176.170850599368</v>
      </c>
      <c r="C16" s="34">
        <v>785516.18887353758</v>
      </c>
      <c r="D16" s="34">
        <v>0</v>
      </c>
      <c r="E16" s="34">
        <v>0</v>
      </c>
      <c r="F16" s="34">
        <v>73629.711020858958</v>
      </c>
      <c r="G16" s="46">
        <v>276.76</v>
      </c>
      <c r="H16" s="34">
        <v>737.60996142053648</v>
      </c>
      <c r="I16" s="35"/>
      <c r="J16" s="34">
        <v>21424.076028799347</v>
      </c>
      <c r="K16" s="36">
        <v>0</v>
      </c>
      <c r="L16" s="36">
        <v>0</v>
      </c>
      <c r="M16" s="36">
        <v>0</v>
      </c>
      <c r="N16" s="36">
        <v>0</v>
      </c>
      <c r="O16" s="50">
        <v>0</v>
      </c>
      <c r="P16" s="36">
        <v>8260.3981325053082</v>
      </c>
      <c r="Q16" s="36">
        <v>294831.12860000005</v>
      </c>
      <c r="R16" s="36">
        <v>0</v>
      </c>
      <c r="S16" s="36">
        <v>654373.3676</v>
      </c>
      <c r="T16" s="36">
        <v>0</v>
      </c>
      <c r="U16" s="36">
        <v>609526.31000000006</v>
      </c>
      <c r="V16" s="35"/>
      <c r="W16" s="45">
        <f t="shared" si="5"/>
        <v>875336.4407064165</v>
      </c>
      <c r="X16" s="45">
        <f t="shared" si="10"/>
        <v>934041.91276130476</v>
      </c>
      <c r="Y16" s="46">
        <f t="shared" si="0"/>
        <v>-58705.472054888261</v>
      </c>
      <c r="Z16" s="52">
        <f t="shared" si="1"/>
        <v>0.93714899593602019</v>
      </c>
      <c r="AA16" s="4"/>
      <c r="AB16" s="45">
        <f t="shared" si="6"/>
        <v>874322.07074499596</v>
      </c>
      <c r="AC16" s="45">
        <f t="shared" si="7"/>
        <v>925781.5146287994</v>
      </c>
      <c r="AD16" s="46">
        <f t="shared" si="2"/>
        <v>-51459.44388380344</v>
      </c>
      <c r="AE16" s="52">
        <f t="shared" si="3"/>
        <v>0.94441513135587229</v>
      </c>
      <c r="AF16" s="4"/>
      <c r="AG16" s="45">
        <v>15176.170850599417</v>
      </c>
      <c r="AH16" s="45">
        <f t="shared" si="8"/>
        <v>970628.57222879934</v>
      </c>
      <c r="AI16" s="46">
        <f t="shared" si="4"/>
        <v>-955452.40137819992</v>
      </c>
      <c r="AJ16" s="52">
        <f t="shared" si="9"/>
        <v>1.5635405019812303E-2</v>
      </c>
      <c r="AK16" s="4"/>
    </row>
    <row r="17" spans="1:37" s="3" customFormat="1" x14ac:dyDescent="0.35">
      <c r="A17" s="37" t="s">
        <v>82</v>
      </c>
      <c r="B17" s="34">
        <v>103249.6201264749</v>
      </c>
      <c r="C17" s="34">
        <v>40803.455485732433</v>
      </c>
      <c r="D17" s="34">
        <v>116693.33152269589</v>
      </c>
      <c r="E17" s="34">
        <v>8900.8350698531685</v>
      </c>
      <c r="F17" s="34">
        <v>176433.6506830361</v>
      </c>
      <c r="G17" s="46">
        <v>0</v>
      </c>
      <c r="H17" s="34">
        <v>23081.033473655785</v>
      </c>
      <c r="I17" s="35"/>
      <c r="J17" s="34">
        <v>0</v>
      </c>
      <c r="K17" s="36">
        <v>1497.0989688935042</v>
      </c>
      <c r="L17" s="36">
        <v>0</v>
      </c>
      <c r="M17" s="36">
        <v>0</v>
      </c>
      <c r="N17" s="36">
        <v>0</v>
      </c>
      <c r="O17" s="50">
        <v>0</v>
      </c>
      <c r="P17" s="36">
        <v>0</v>
      </c>
      <c r="Q17" s="36">
        <v>239239.57829999991</v>
      </c>
      <c r="R17" s="36">
        <v>27444.853899999991</v>
      </c>
      <c r="S17" s="36">
        <v>586743.06479999993</v>
      </c>
      <c r="T17" s="36">
        <v>92579.012000000002</v>
      </c>
      <c r="U17" s="36">
        <v>537986.83000000007</v>
      </c>
      <c r="V17" s="35"/>
      <c r="W17" s="45">
        <f t="shared" si="5"/>
        <v>469161.92636144825</v>
      </c>
      <c r="X17" s="45">
        <f t="shared" si="10"/>
        <v>806168.36116889352</v>
      </c>
      <c r="Y17" s="46">
        <f t="shared" si="0"/>
        <v>-337006.43480744527</v>
      </c>
      <c r="Z17" s="52">
        <f t="shared" si="1"/>
        <v>0.58196519357469312</v>
      </c>
      <c r="AA17" s="4"/>
      <c r="AB17" s="45">
        <f t="shared" si="6"/>
        <v>446080.89288779243</v>
      </c>
      <c r="AC17" s="45">
        <f t="shared" si="7"/>
        <v>806168.36116889352</v>
      </c>
      <c r="AD17" s="46">
        <f t="shared" si="2"/>
        <v>-360087.46828110109</v>
      </c>
      <c r="AE17" s="52">
        <f t="shared" si="3"/>
        <v>0.55333465610211141</v>
      </c>
      <c r="AF17" s="4"/>
      <c r="AG17" s="45">
        <v>144053.07561220732</v>
      </c>
      <c r="AH17" s="45">
        <f t="shared" si="8"/>
        <v>947503.60796889337</v>
      </c>
      <c r="AI17" s="46">
        <f t="shared" si="4"/>
        <v>-803450.53235668608</v>
      </c>
      <c r="AJ17" s="52">
        <f t="shared" si="9"/>
        <v>0.1520343293689459</v>
      </c>
      <c r="AK17" s="4"/>
    </row>
    <row r="18" spans="1:37" s="3" customFormat="1" x14ac:dyDescent="0.35">
      <c r="A18" s="37" t="s">
        <v>83</v>
      </c>
      <c r="B18" s="34">
        <v>1157629.0608194803</v>
      </c>
      <c r="C18" s="34">
        <v>75542.528404735669</v>
      </c>
      <c r="D18" s="34">
        <v>653615.36632745515</v>
      </c>
      <c r="E18" s="34">
        <v>0</v>
      </c>
      <c r="F18" s="34">
        <v>719400.11671732075</v>
      </c>
      <c r="G18" s="46">
        <v>0</v>
      </c>
      <c r="H18" s="34">
        <v>110347.77108165606</v>
      </c>
      <c r="I18" s="35"/>
      <c r="J18" s="34">
        <v>0</v>
      </c>
      <c r="K18" s="36">
        <v>0</v>
      </c>
      <c r="L18" s="36">
        <v>0</v>
      </c>
      <c r="M18" s="36">
        <v>0</v>
      </c>
      <c r="N18" s="36">
        <v>0</v>
      </c>
      <c r="O18" s="50">
        <v>0</v>
      </c>
      <c r="P18" s="36">
        <v>0</v>
      </c>
      <c r="Q18" s="36">
        <v>231954.05000000002</v>
      </c>
      <c r="R18" s="36">
        <v>25609.15</v>
      </c>
      <c r="S18" s="36">
        <v>569584.74</v>
      </c>
      <c r="T18" s="36">
        <v>32908.800000000003</v>
      </c>
      <c r="U18" s="36">
        <v>370811.95159997162</v>
      </c>
      <c r="V18" s="35"/>
      <c r="W18" s="45">
        <f t="shared" si="5"/>
        <v>2716534.8433506484</v>
      </c>
      <c r="X18" s="45">
        <f t="shared" si="10"/>
        <v>628375.15159997158</v>
      </c>
      <c r="Y18" s="50">
        <f t="shared" si="0"/>
        <v>2088159.6917506768</v>
      </c>
      <c r="Z18" s="52">
        <f t="shared" si="1"/>
        <v>4.3231099072485524</v>
      </c>
      <c r="AA18" s="4"/>
      <c r="AB18" s="45">
        <f t="shared" si="6"/>
        <v>2606187.0722689922</v>
      </c>
      <c r="AC18" s="45">
        <f t="shared" si="7"/>
        <v>628375.15159997158</v>
      </c>
      <c r="AD18" s="50">
        <f t="shared" si="2"/>
        <v>1977811.9206690206</v>
      </c>
      <c r="AE18" s="52">
        <f t="shared" si="3"/>
        <v>4.1475017998931163</v>
      </c>
      <c r="AF18" s="4"/>
      <c r="AG18" s="45">
        <v>1233171.5892242161</v>
      </c>
      <c r="AH18" s="45">
        <f t="shared" si="8"/>
        <v>860056.74</v>
      </c>
      <c r="AI18" s="50">
        <f t="shared" si="4"/>
        <v>373114.84922421607</v>
      </c>
      <c r="AJ18" s="52">
        <f t="shared" si="9"/>
        <v>1.433825853424759</v>
      </c>
      <c r="AK18" s="4"/>
    </row>
    <row r="19" spans="1:37" s="3" customFormat="1" x14ac:dyDescent="0.35">
      <c r="A19" s="37" t="s">
        <v>84</v>
      </c>
      <c r="B19" s="34">
        <v>344804.58316139464</v>
      </c>
      <c r="C19" s="34">
        <v>328828.3277641004</v>
      </c>
      <c r="D19" s="34">
        <v>0</v>
      </c>
      <c r="E19" s="34">
        <v>0</v>
      </c>
      <c r="F19" s="34">
        <v>415595.08652558661</v>
      </c>
      <c r="G19" s="46">
        <v>0</v>
      </c>
      <c r="H19" s="34">
        <v>30370.10281645324</v>
      </c>
      <c r="I19" s="35"/>
      <c r="J19" s="34">
        <v>0</v>
      </c>
      <c r="K19" s="36">
        <v>0</v>
      </c>
      <c r="L19" s="36">
        <v>0</v>
      </c>
      <c r="M19" s="36">
        <v>0</v>
      </c>
      <c r="N19" s="36">
        <v>0</v>
      </c>
      <c r="O19" s="50">
        <v>0</v>
      </c>
      <c r="P19" s="36">
        <v>0</v>
      </c>
      <c r="Q19" s="36">
        <v>224141.71859999999</v>
      </c>
      <c r="R19" s="36">
        <v>94805.726999999999</v>
      </c>
      <c r="S19" s="36">
        <v>282783.73000000004</v>
      </c>
      <c r="T19" s="36">
        <v>306710.26999999996</v>
      </c>
      <c r="U19" s="36">
        <v>501188.6467651347</v>
      </c>
      <c r="V19" s="35"/>
      <c r="W19" s="45">
        <f t="shared" si="5"/>
        <v>1119598.1002675348</v>
      </c>
      <c r="X19" s="45">
        <f t="shared" si="10"/>
        <v>820136.09236513474</v>
      </c>
      <c r="Y19" s="50">
        <f t="shared" si="0"/>
        <v>299462.0079024001</v>
      </c>
      <c r="Z19" s="52">
        <f t="shared" si="1"/>
        <v>1.3651369701811342</v>
      </c>
      <c r="AA19" s="4"/>
      <c r="AB19" s="45">
        <f t="shared" si="6"/>
        <v>1089227.9974510816</v>
      </c>
      <c r="AC19" s="45">
        <f t="shared" si="7"/>
        <v>820136.09236513474</v>
      </c>
      <c r="AD19" s="50">
        <f t="shared" si="2"/>
        <v>269091.9050859469</v>
      </c>
      <c r="AE19" s="52">
        <f t="shared" si="3"/>
        <v>1.3281064052551705</v>
      </c>
      <c r="AF19" s="4"/>
      <c r="AG19" s="45">
        <v>658583.52888519329</v>
      </c>
      <c r="AH19" s="45">
        <f t="shared" si="8"/>
        <v>908441.44559999998</v>
      </c>
      <c r="AI19" s="50">
        <f t="shared" si="4"/>
        <v>-249857.91671480669</v>
      </c>
      <c r="AJ19" s="52">
        <f t="shared" si="9"/>
        <v>0.72495980018857176</v>
      </c>
      <c r="AK19" s="4"/>
    </row>
    <row r="20" spans="1:37" s="3" customFormat="1" x14ac:dyDescent="0.35">
      <c r="A20" s="37" t="s">
        <v>85</v>
      </c>
      <c r="B20" s="34">
        <v>4305677.4370976835</v>
      </c>
      <c r="C20" s="34">
        <v>123172.38045947398</v>
      </c>
      <c r="D20" s="34">
        <v>0</v>
      </c>
      <c r="E20" s="34">
        <v>0</v>
      </c>
      <c r="F20" s="34">
        <v>2558113.2952680811</v>
      </c>
      <c r="G20" s="46">
        <v>0</v>
      </c>
      <c r="H20" s="34">
        <v>353976.4241734877</v>
      </c>
      <c r="I20" s="35"/>
      <c r="J20" s="34">
        <v>0</v>
      </c>
      <c r="K20" s="36">
        <v>7808.1823720273733</v>
      </c>
      <c r="L20" s="36">
        <v>0</v>
      </c>
      <c r="M20" s="36">
        <v>0</v>
      </c>
      <c r="N20" s="36">
        <v>0</v>
      </c>
      <c r="O20" s="50">
        <v>0</v>
      </c>
      <c r="P20" s="36">
        <v>0</v>
      </c>
      <c r="Q20" s="36">
        <v>1243403.2617999997</v>
      </c>
      <c r="R20" s="36">
        <v>162355.85929999998</v>
      </c>
      <c r="S20" s="36">
        <v>2498483.75</v>
      </c>
      <c r="T20" s="36">
        <v>34341.25</v>
      </c>
      <c r="U20" s="36">
        <v>1120424.3602646329</v>
      </c>
      <c r="V20" s="35"/>
      <c r="W20" s="45">
        <f t="shared" si="5"/>
        <v>7340939.5369987264</v>
      </c>
      <c r="X20" s="45">
        <f t="shared" si="10"/>
        <v>2533991.66373666</v>
      </c>
      <c r="Y20" s="50">
        <f t="shared" si="0"/>
        <v>4806947.8732620664</v>
      </c>
      <c r="Z20" s="52">
        <f t="shared" si="1"/>
        <v>2.8969864589742467</v>
      </c>
      <c r="AA20" s="4"/>
      <c r="AB20" s="45">
        <f t="shared" si="6"/>
        <v>6986963.1128252391</v>
      </c>
      <c r="AC20" s="45">
        <f t="shared" si="7"/>
        <v>2533991.66373666</v>
      </c>
      <c r="AD20" s="50">
        <f t="shared" si="2"/>
        <v>4452971.449088579</v>
      </c>
      <c r="AE20" s="52">
        <f t="shared" si="3"/>
        <v>2.7572952242953175</v>
      </c>
      <c r="AF20" s="4"/>
      <c r="AG20" s="45">
        <v>4428849.8175571579</v>
      </c>
      <c r="AH20" s="45">
        <f t="shared" si="8"/>
        <v>3946392.3034720272</v>
      </c>
      <c r="AI20" s="50">
        <f t="shared" si="4"/>
        <v>482457.51408513077</v>
      </c>
      <c r="AJ20" s="52">
        <f t="shared" si="9"/>
        <v>1.1222528012890827</v>
      </c>
      <c r="AK20" s="4"/>
    </row>
    <row r="21" spans="1:37" s="3" customFormat="1" x14ac:dyDescent="0.35">
      <c r="A21" s="37" t="s">
        <v>86</v>
      </c>
      <c r="B21" s="34">
        <v>4192823.3861846109</v>
      </c>
      <c r="C21" s="34">
        <v>944062.93002538593</v>
      </c>
      <c r="D21" s="34">
        <v>8645974.5499484874</v>
      </c>
      <c r="E21" s="34">
        <v>425169.52384422673</v>
      </c>
      <c r="F21" s="34">
        <v>2941161.128164602</v>
      </c>
      <c r="G21" s="46">
        <v>0</v>
      </c>
      <c r="H21" s="34">
        <v>425801.56080932845</v>
      </c>
      <c r="I21" s="35"/>
      <c r="J21" s="34">
        <v>0</v>
      </c>
      <c r="K21" s="36">
        <v>140662.93291265899</v>
      </c>
      <c r="L21" s="36">
        <v>0</v>
      </c>
      <c r="M21" s="36">
        <v>0</v>
      </c>
      <c r="N21" s="36">
        <v>0</v>
      </c>
      <c r="O21" s="50">
        <v>0</v>
      </c>
      <c r="P21" s="36">
        <v>0</v>
      </c>
      <c r="Q21" s="36">
        <v>124427.96570000002</v>
      </c>
      <c r="R21" s="36">
        <v>17568.323000000004</v>
      </c>
      <c r="S21" s="36">
        <v>150018.04410000003</v>
      </c>
      <c r="T21" s="36">
        <v>25033.481</v>
      </c>
      <c r="U21" s="36">
        <v>665184.62</v>
      </c>
      <c r="V21" s="35"/>
      <c r="W21" s="45">
        <f t="shared" si="5"/>
        <v>17574993.078976642</v>
      </c>
      <c r="X21" s="45">
        <f t="shared" si="10"/>
        <v>947843.84161265916</v>
      </c>
      <c r="Y21" s="50">
        <f t="shared" si="0"/>
        <v>16627149.237363983</v>
      </c>
      <c r="Z21" s="52">
        <f t="shared" si="1"/>
        <v>18.542076560918087</v>
      </c>
      <c r="AA21" s="4"/>
      <c r="AB21" s="45">
        <f t="shared" si="6"/>
        <v>17149191.518167313</v>
      </c>
      <c r="AC21" s="45">
        <f t="shared" si="7"/>
        <v>947843.84161265916</v>
      </c>
      <c r="AD21" s="50">
        <f t="shared" si="2"/>
        <v>16201347.676554654</v>
      </c>
      <c r="AE21" s="52">
        <f t="shared" si="3"/>
        <v>18.092844797081469</v>
      </c>
      <c r="AF21" s="4"/>
      <c r="AG21" s="45">
        <v>5136886.3162099971</v>
      </c>
      <c r="AH21" s="45">
        <f t="shared" si="8"/>
        <v>457710.74671265914</v>
      </c>
      <c r="AI21" s="50">
        <f t="shared" si="4"/>
        <v>4679175.5694973376</v>
      </c>
      <c r="AJ21" s="52">
        <f t="shared" si="9"/>
        <v>11.222996954089048</v>
      </c>
      <c r="AK21" s="4"/>
    </row>
    <row r="22" spans="1:37" s="3" customFormat="1" x14ac:dyDescent="0.35">
      <c r="A22" s="38" t="s">
        <v>87</v>
      </c>
      <c r="B22" s="34">
        <v>855425.02931447444</v>
      </c>
      <c r="C22" s="34">
        <v>156844.74738283906</v>
      </c>
      <c r="D22" s="34">
        <v>1318285.6999478568</v>
      </c>
      <c r="E22" s="34">
        <v>145764.98580546267</v>
      </c>
      <c r="F22" s="34">
        <v>567197.11801619688</v>
      </c>
      <c r="G22" s="46">
        <v>0</v>
      </c>
      <c r="H22" s="34">
        <v>83790.466870788994</v>
      </c>
      <c r="I22" s="35"/>
      <c r="J22" s="34">
        <v>0</v>
      </c>
      <c r="K22" s="36">
        <v>40623.603122367756</v>
      </c>
      <c r="L22" s="36">
        <v>0</v>
      </c>
      <c r="M22" s="36">
        <v>0</v>
      </c>
      <c r="N22" s="36">
        <v>0</v>
      </c>
      <c r="O22" s="50">
        <v>0</v>
      </c>
      <c r="P22" s="36">
        <v>0</v>
      </c>
      <c r="Q22" s="36">
        <v>332100.12459999998</v>
      </c>
      <c r="R22" s="36">
        <v>45949.562400000003</v>
      </c>
      <c r="S22" s="36">
        <v>598421.87339999992</v>
      </c>
      <c r="T22" s="36">
        <v>114897.0971</v>
      </c>
      <c r="U22" s="36">
        <v>164074.04</v>
      </c>
      <c r="V22" s="35"/>
      <c r="W22" s="45">
        <f t="shared" si="5"/>
        <v>3127308.0473376187</v>
      </c>
      <c r="X22" s="45">
        <f t="shared" si="10"/>
        <v>582747.3301223676</v>
      </c>
      <c r="Y22" s="50">
        <f t="shared" si="0"/>
        <v>2544560.7172152512</v>
      </c>
      <c r="Z22" s="52">
        <f t="shared" si="1"/>
        <v>5.366490562352185</v>
      </c>
      <c r="AA22" s="4"/>
      <c r="AB22" s="45">
        <f t="shared" si="6"/>
        <v>3043517.5804668297</v>
      </c>
      <c r="AC22" s="45">
        <f t="shared" si="7"/>
        <v>582747.3301223676</v>
      </c>
      <c r="AD22" s="50">
        <f t="shared" si="2"/>
        <v>2460770.2503444622</v>
      </c>
      <c r="AE22" s="52">
        <f t="shared" si="3"/>
        <v>5.2227053186631327</v>
      </c>
      <c r="AF22" s="4"/>
      <c r="AG22" s="45">
        <v>1012269.7766973135</v>
      </c>
      <c r="AH22" s="45">
        <f t="shared" si="8"/>
        <v>1131992.2606223675</v>
      </c>
      <c r="AI22" s="50">
        <f t="shared" si="4"/>
        <v>-119722.48392505397</v>
      </c>
      <c r="AJ22" s="52">
        <f t="shared" si="9"/>
        <v>0.89423736531623388</v>
      </c>
      <c r="AK22" s="4"/>
    </row>
    <row r="23" spans="1:37" s="3" customFormat="1" x14ac:dyDescent="0.35">
      <c r="A23" s="38" t="s">
        <v>88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46">
        <v>0</v>
      </c>
      <c r="H23" s="34">
        <v>0</v>
      </c>
      <c r="I23" s="35"/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>
        <v>0</v>
      </c>
      <c r="P23" s="34">
        <v>0</v>
      </c>
      <c r="Q23" s="34">
        <v>89760.019199999981</v>
      </c>
      <c r="R23" s="36">
        <v>12240.010800000002</v>
      </c>
      <c r="S23" s="36">
        <v>0</v>
      </c>
      <c r="T23" s="36">
        <v>0</v>
      </c>
      <c r="U23" s="36">
        <v>0</v>
      </c>
      <c r="V23" s="35"/>
      <c r="W23" s="45">
        <f t="shared" si="5"/>
        <v>0</v>
      </c>
      <c r="X23" s="45">
        <f t="shared" si="10"/>
        <v>102000.02999999998</v>
      </c>
      <c r="Y23" s="46">
        <f t="shared" si="0"/>
        <v>-102000.02999999998</v>
      </c>
      <c r="Z23" s="52">
        <f t="shared" si="1"/>
        <v>0</v>
      </c>
      <c r="AA23" s="4"/>
      <c r="AB23" s="45">
        <f t="shared" si="6"/>
        <v>0</v>
      </c>
      <c r="AC23" s="45">
        <f t="shared" si="7"/>
        <v>102000.02999999998</v>
      </c>
      <c r="AD23" s="46">
        <f t="shared" si="2"/>
        <v>-102000.02999999998</v>
      </c>
      <c r="AE23" s="52">
        <f t="shared" si="3"/>
        <v>0</v>
      </c>
      <c r="AF23" s="4"/>
      <c r="AG23" s="45">
        <v>0</v>
      </c>
      <c r="AH23" s="45">
        <f t="shared" si="8"/>
        <v>102000.02999999998</v>
      </c>
      <c r="AI23" s="46">
        <f t="shared" si="4"/>
        <v>-102000.02999999998</v>
      </c>
      <c r="AJ23" s="52">
        <f t="shared" si="9"/>
        <v>0</v>
      </c>
      <c r="AK23" s="4"/>
    </row>
    <row r="24" spans="1:37" s="3" customFormat="1" ht="15" thickBot="1" x14ac:dyDescent="0.4">
      <c r="A24" s="38" t="s">
        <v>89</v>
      </c>
      <c r="B24" s="34">
        <v>297133.99289715092</v>
      </c>
      <c r="C24" s="34">
        <v>94993.673382040753</v>
      </c>
      <c r="D24" s="34">
        <v>0</v>
      </c>
      <c r="E24" s="34">
        <v>0</v>
      </c>
      <c r="F24" s="34">
        <v>225200.4819966027</v>
      </c>
      <c r="G24" s="46">
        <v>0</v>
      </c>
      <c r="H24" s="34">
        <v>27756.913391644266</v>
      </c>
      <c r="I24" s="35"/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46">
        <v>0</v>
      </c>
      <c r="P24" s="34">
        <v>0</v>
      </c>
      <c r="Q24" s="34">
        <v>0</v>
      </c>
      <c r="R24" s="36">
        <v>0</v>
      </c>
      <c r="S24" s="36">
        <v>0</v>
      </c>
      <c r="T24" s="36">
        <v>0</v>
      </c>
      <c r="U24" s="36">
        <v>0</v>
      </c>
      <c r="V24" s="35"/>
      <c r="W24" s="53">
        <f t="shared" si="5"/>
        <v>645085.0616674386</v>
      </c>
      <c r="X24" s="53">
        <f t="shared" si="10"/>
        <v>0</v>
      </c>
      <c r="Y24" s="54">
        <f t="shared" si="0"/>
        <v>645085.0616674386</v>
      </c>
      <c r="Z24" s="55" t="s">
        <v>90</v>
      </c>
      <c r="AA24" s="4"/>
      <c r="AB24" s="53">
        <f t="shared" si="6"/>
        <v>617328.14827579434</v>
      </c>
      <c r="AC24" s="53">
        <f t="shared" si="7"/>
        <v>0</v>
      </c>
      <c r="AD24" s="54">
        <f t="shared" si="2"/>
        <v>617328.14827579434</v>
      </c>
      <c r="AE24" s="55" t="s">
        <v>90</v>
      </c>
      <c r="AF24" s="4"/>
      <c r="AG24" s="53">
        <v>392127.66627919168</v>
      </c>
      <c r="AH24" s="53">
        <f t="shared" si="8"/>
        <v>0</v>
      </c>
      <c r="AI24" s="54">
        <f t="shared" si="4"/>
        <v>392127.66627919168</v>
      </c>
      <c r="AJ24" s="55" t="s">
        <v>90</v>
      </c>
      <c r="AK24" s="4"/>
    </row>
    <row r="25" spans="1:37" x14ac:dyDescent="0.35">
      <c r="A25" s="40" t="s">
        <v>91</v>
      </c>
      <c r="B25" s="41">
        <v>152069827.79037106</v>
      </c>
      <c r="C25" s="41">
        <v>66779132.791055173</v>
      </c>
      <c r="D25" s="41">
        <v>586282.9677399043</v>
      </c>
      <c r="E25" s="41">
        <v>16261565.74726597</v>
      </c>
      <c r="F25" s="41">
        <v>98656712.819420174</v>
      </c>
      <c r="G25" s="47">
        <v>0</v>
      </c>
      <c r="H25" s="41">
        <v>11880943.915067334</v>
      </c>
      <c r="I25" s="32"/>
      <c r="J25" s="41">
        <v>161054.11636609575</v>
      </c>
      <c r="K25" s="41">
        <v>5371436.1015055273</v>
      </c>
      <c r="L25" s="41">
        <v>0</v>
      </c>
      <c r="M25" s="41">
        <v>4511.0484691443862</v>
      </c>
      <c r="N25" s="41">
        <v>0</v>
      </c>
      <c r="O25" s="47">
        <v>0</v>
      </c>
      <c r="P25" s="41">
        <v>0</v>
      </c>
      <c r="Q25" s="41">
        <v>18160057.680000003</v>
      </c>
      <c r="R25" s="41">
        <v>2146405.8376999996</v>
      </c>
      <c r="S25" s="41">
        <v>27224918.9298</v>
      </c>
      <c r="T25" s="41">
        <v>2098017</v>
      </c>
      <c r="U25" s="41">
        <v>54379522.361417554</v>
      </c>
      <c r="V25" s="35"/>
      <c r="W25" s="56">
        <f t="shared" si="5"/>
        <v>346234466.03091961</v>
      </c>
      <c r="X25" s="56">
        <f t="shared" si="10"/>
        <v>80222987.145458311</v>
      </c>
      <c r="Y25" s="47">
        <f t="shared" si="0"/>
        <v>266011478.8854613</v>
      </c>
      <c r="Z25" s="57">
        <f t="shared" ref="Z25:Z35" si="11">W25/X25</f>
        <v>4.3159009449889458</v>
      </c>
      <c r="AA25" s="5"/>
      <c r="AB25" s="56">
        <f t="shared" si="6"/>
        <v>334353522.1158523</v>
      </c>
      <c r="AC25" s="56">
        <f t="shared" si="7"/>
        <v>80222987.145458311</v>
      </c>
      <c r="AD25" s="47">
        <f t="shared" si="2"/>
        <v>254130534.97039399</v>
      </c>
      <c r="AE25" s="57">
        <f t="shared" si="3"/>
        <v>4.1678019482073241</v>
      </c>
      <c r="AF25" s="5"/>
      <c r="AG25" s="56">
        <v>163440944.87268052</v>
      </c>
      <c r="AH25" s="56">
        <f t="shared" si="8"/>
        <v>55161889.665371627</v>
      </c>
      <c r="AI25" s="47">
        <f t="shared" si="4"/>
        <v>108279055.20730889</v>
      </c>
      <c r="AJ25" s="57">
        <f t="shared" si="9"/>
        <v>2.9629323046067082</v>
      </c>
      <c r="AK25" s="5"/>
    </row>
    <row r="26" spans="1:37" s="3" customFormat="1" x14ac:dyDescent="0.35">
      <c r="A26" s="37" t="s">
        <v>92</v>
      </c>
      <c r="B26" s="36">
        <v>18798606.065892406</v>
      </c>
      <c r="C26" s="36">
        <v>4371425.9154530903</v>
      </c>
      <c r="D26" s="34">
        <v>508289.67640389467</v>
      </c>
      <c r="E26" s="36">
        <v>2314068.4317171979</v>
      </c>
      <c r="F26" s="34">
        <v>13403367.489475029</v>
      </c>
      <c r="G26" s="46">
        <v>0</v>
      </c>
      <c r="H26" s="34">
        <v>1752451.9362419248</v>
      </c>
      <c r="I26" s="35"/>
      <c r="J26" s="34">
        <v>2616.9434276112884</v>
      </c>
      <c r="K26" s="34">
        <v>463558.06607990107</v>
      </c>
      <c r="L26" s="34">
        <v>0</v>
      </c>
      <c r="M26" s="34">
        <v>4511.0484691443862</v>
      </c>
      <c r="N26" s="34">
        <v>0</v>
      </c>
      <c r="O26" s="46">
        <v>0</v>
      </c>
      <c r="P26" s="34">
        <v>0</v>
      </c>
      <c r="Q26" s="34">
        <v>4236346.3559000008</v>
      </c>
      <c r="R26" s="34">
        <v>1061044.2669999995</v>
      </c>
      <c r="S26" s="34">
        <v>4214565.6300000018</v>
      </c>
      <c r="T26" s="34">
        <v>922802.78</v>
      </c>
      <c r="U26" s="34">
        <v>15149337.153523546</v>
      </c>
      <c r="V26" s="35"/>
      <c r="W26" s="45">
        <f t="shared" si="5"/>
        <v>41148209.515183546</v>
      </c>
      <c r="X26" s="45">
        <f t="shared" si="10"/>
        <v>20917413.834400199</v>
      </c>
      <c r="Y26" s="46">
        <f t="shared" si="0"/>
        <v>20230795.680783346</v>
      </c>
      <c r="Z26" s="52">
        <f t="shared" si="11"/>
        <v>1.9671748066442296</v>
      </c>
      <c r="AA26" s="4"/>
      <c r="AB26" s="45">
        <f t="shared" si="6"/>
        <v>39395757.578941621</v>
      </c>
      <c r="AC26" s="45">
        <f t="shared" si="7"/>
        <v>20917413.834400199</v>
      </c>
      <c r="AD26" s="46">
        <f t="shared" si="2"/>
        <v>18478343.744541422</v>
      </c>
      <c r="AE26" s="52">
        <f t="shared" si="3"/>
        <v>1.8833952366593449</v>
      </c>
      <c r="AF26" s="4"/>
      <c r="AG26" s="45">
        <v>23065798.674911521</v>
      </c>
      <c r="AH26" s="45">
        <f t="shared" si="8"/>
        <v>10900934.042407513</v>
      </c>
      <c r="AI26" s="46">
        <f t="shared" si="4"/>
        <v>12164864.632504009</v>
      </c>
      <c r="AJ26" s="52">
        <f t="shared" si="9"/>
        <v>2.1159469991451623</v>
      </c>
      <c r="AK26" s="4"/>
    </row>
    <row r="27" spans="1:37" s="3" customFormat="1" x14ac:dyDescent="0.35">
      <c r="A27" s="37" t="s">
        <v>93</v>
      </c>
      <c r="B27" s="36">
        <v>67746558.140287131</v>
      </c>
      <c r="C27" s="36">
        <v>61671513.640660249</v>
      </c>
      <c r="D27" s="34">
        <v>0</v>
      </c>
      <c r="E27" s="36">
        <v>0</v>
      </c>
      <c r="F27" s="34">
        <v>55104123.035347641</v>
      </c>
      <c r="G27" s="46">
        <v>0</v>
      </c>
      <c r="H27" s="34">
        <v>5386899.1953133876</v>
      </c>
      <c r="I27" s="35"/>
      <c r="J27" s="34">
        <v>158437.17293848447</v>
      </c>
      <c r="K27" s="34">
        <v>0</v>
      </c>
      <c r="L27" s="34">
        <v>0</v>
      </c>
      <c r="M27" s="34">
        <v>0</v>
      </c>
      <c r="N27" s="34">
        <v>0</v>
      </c>
      <c r="O27" s="46">
        <v>0</v>
      </c>
      <c r="P27" s="34">
        <v>0</v>
      </c>
      <c r="Q27" s="34">
        <v>4590600.57</v>
      </c>
      <c r="R27" s="36">
        <v>678291.65</v>
      </c>
      <c r="S27" s="34">
        <v>5989684.1399999997</v>
      </c>
      <c r="T27" s="34">
        <v>1015477.28</v>
      </c>
      <c r="U27" s="34">
        <v>17899604.570604805</v>
      </c>
      <c r="V27" s="35"/>
      <c r="W27" s="45">
        <f t="shared" si="5"/>
        <v>189909094.01160842</v>
      </c>
      <c r="X27" s="45">
        <f t="shared" si="10"/>
        <v>23326933.963543288</v>
      </c>
      <c r="Y27" s="46">
        <f t="shared" si="0"/>
        <v>166582160.04806513</v>
      </c>
      <c r="Z27" s="52">
        <f t="shared" si="11"/>
        <v>8.1411939652424774</v>
      </c>
      <c r="AA27" s="4"/>
      <c r="AB27" s="45">
        <f t="shared" si="6"/>
        <v>184522194.81629503</v>
      </c>
      <c r="AC27" s="45">
        <f t="shared" si="7"/>
        <v>23326933.963543288</v>
      </c>
      <c r="AD27" s="46">
        <f t="shared" si="2"/>
        <v>161195260.85275173</v>
      </c>
      <c r="AE27" s="52">
        <f t="shared" si="3"/>
        <v>7.9102635221875808</v>
      </c>
      <c r="AF27" s="4"/>
      <c r="AG27" s="45">
        <v>74565160.315289035</v>
      </c>
      <c r="AH27" s="45">
        <f t="shared" si="8"/>
        <v>12432490.812938483</v>
      </c>
      <c r="AI27" s="46">
        <f t="shared" si="4"/>
        <v>62132669.502350554</v>
      </c>
      <c r="AJ27" s="52">
        <f t="shared" si="9"/>
        <v>5.9976042964527378</v>
      </c>
      <c r="AK27" s="4"/>
    </row>
    <row r="28" spans="1:37" s="3" customFormat="1" x14ac:dyDescent="0.35">
      <c r="A28" s="37" t="s">
        <v>94</v>
      </c>
      <c r="B28" s="36">
        <v>23295508.326218583</v>
      </c>
      <c r="C28" s="36">
        <v>0</v>
      </c>
      <c r="D28" s="34">
        <v>0</v>
      </c>
      <c r="E28" s="36">
        <v>9153935.4170981906</v>
      </c>
      <c r="F28" s="34">
        <v>9980663.7108113356</v>
      </c>
      <c r="G28" s="46">
        <v>0</v>
      </c>
      <c r="H28" s="34">
        <v>1549466.4464230454</v>
      </c>
      <c r="I28" s="35"/>
      <c r="J28" s="34">
        <v>0</v>
      </c>
      <c r="K28" s="34">
        <v>1580378.063753661</v>
      </c>
      <c r="L28" s="34">
        <v>0</v>
      </c>
      <c r="M28" s="34">
        <v>0</v>
      </c>
      <c r="N28" s="34">
        <v>0</v>
      </c>
      <c r="O28" s="46">
        <v>0</v>
      </c>
      <c r="P28" s="34">
        <v>0</v>
      </c>
      <c r="Q28" s="34">
        <v>1864044.9689</v>
      </c>
      <c r="R28" s="34">
        <v>0</v>
      </c>
      <c r="S28" s="34">
        <v>4447704.9499999993</v>
      </c>
      <c r="T28" s="34">
        <v>0</v>
      </c>
      <c r="U28" s="34">
        <v>12741684.631451901</v>
      </c>
      <c r="V28" s="35"/>
      <c r="W28" s="45">
        <f t="shared" si="5"/>
        <v>43979573.900551155</v>
      </c>
      <c r="X28" s="45">
        <f t="shared" si="10"/>
        <v>16186107.664105561</v>
      </c>
      <c r="Y28" s="46">
        <f t="shared" si="0"/>
        <v>27793466.236445595</v>
      </c>
      <c r="Z28" s="52">
        <f t="shared" si="11"/>
        <v>2.7171185817625942</v>
      </c>
      <c r="AA28" s="4"/>
      <c r="AB28" s="45">
        <f t="shared" si="6"/>
        <v>42430107.454128109</v>
      </c>
      <c r="AC28" s="45">
        <f t="shared" si="7"/>
        <v>16186107.664105561</v>
      </c>
      <c r="AD28" s="46">
        <f t="shared" si="2"/>
        <v>26243999.790022548</v>
      </c>
      <c r="AE28" s="52">
        <f t="shared" si="3"/>
        <v>2.6213904129787453</v>
      </c>
      <c r="AF28" s="4"/>
      <c r="AG28" s="45">
        <v>23295508.326218583</v>
      </c>
      <c r="AH28" s="45">
        <f t="shared" si="8"/>
        <v>7892127.9826536598</v>
      </c>
      <c r="AI28" s="46">
        <f t="shared" si="4"/>
        <v>15403380.343564924</v>
      </c>
      <c r="AJ28" s="52">
        <f t="shared" si="9"/>
        <v>2.9517398067315259</v>
      </c>
      <c r="AK28" s="4"/>
    </row>
    <row r="29" spans="1:37" s="3" customFormat="1" x14ac:dyDescent="0.35">
      <c r="A29" s="37" t="s">
        <v>95</v>
      </c>
      <c r="B29" s="36">
        <v>411373.07370760466</v>
      </c>
      <c r="C29" s="36">
        <v>29743.187356400282</v>
      </c>
      <c r="D29" s="34">
        <v>0</v>
      </c>
      <c r="E29" s="36">
        <v>0</v>
      </c>
      <c r="F29" s="34">
        <v>193672.55953487876</v>
      </c>
      <c r="G29" s="46">
        <v>0</v>
      </c>
      <c r="H29" s="34">
        <v>26265.832839491592</v>
      </c>
      <c r="I29" s="35"/>
      <c r="J29" s="34">
        <v>0</v>
      </c>
      <c r="K29" s="34">
        <v>543.90503269042995</v>
      </c>
      <c r="L29" s="34">
        <v>0</v>
      </c>
      <c r="M29" s="34">
        <v>0</v>
      </c>
      <c r="N29" s="34">
        <v>0</v>
      </c>
      <c r="O29" s="46">
        <v>0</v>
      </c>
      <c r="P29" s="34">
        <v>0</v>
      </c>
      <c r="Q29" s="34">
        <v>56265.620099999993</v>
      </c>
      <c r="R29" s="34">
        <v>14758.161599999999</v>
      </c>
      <c r="S29" s="34">
        <v>459365</v>
      </c>
      <c r="T29" s="34">
        <v>4865</v>
      </c>
      <c r="U29" s="34">
        <v>119775.21407454212</v>
      </c>
      <c r="V29" s="35"/>
      <c r="W29" s="45">
        <f t="shared" si="5"/>
        <v>661054.65343837533</v>
      </c>
      <c r="X29" s="45">
        <f t="shared" si="10"/>
        <v>191342.9008072326</v>
      </c>
      <c r="Y29" s="46">
        <f t="shared" si="0"/>
        <v>469711.75263114274</v>
      </c>
      <c r="Z29" s="52">
        <f t="shared" si="11"/>
        <v>3.4548167224889696</v>
      </c>
      <c r="AA29" s="4"/>
      <c r="AB29" s="45">
        <f t="shared" si="6"/>
        <v>634788.82059888379</v>
      </c>
      <c r="AC29" s="45">
        <f t="shared" si="7"/>
        <v>191342.9008072326</v>
      </c>
      <c r="AD29" s="46">
        <f t="shared" si="2"/>
        <v>443445.91979165119</v>
      </c>
      <c r="AE29" s="52">
        <f t="shared" si="3"/>
        <v>3.3175457146351013</v>
      </c>
      <c r="AF29" s="4"/>
      <c r="AG29" s="45">
        <v>441116.26106400497</v>
      </c>
      <c r="AH29" s="45">
        <f t="shared" si="8"/>
        <v>535797.68673269032</v>
      </c>
      <c r="AI29" s="46">
        <f t="shared" si="4"/>
        <v>-94681.425668685348</v>
      </c>
      <c r="AJ29" s="52">
        <f t="shared" si="9"/>
        <v>0.8232888494796321</v>
      </c>
      <c r="AK29" s="4"/>
    </row>
    <row r="30" spans="1:37" s="3" customFormat="1" x14ac:dyDescent="0.35">
      <c r="A30" s="37" t="s">
        <v>96</v>
      </c>
      <c r="B30" s="36">
        <v>283734.78871523438</v>
      </c>
      <c r="C30" s="36">
        <v>121019.96481915725</v>
      </c>
      <c r="D30" s="34">
        <v>77993.291336009657</v>
      </c>
      <c r="E30" s="36">
        <v>0</v>
      </c>
      <c r="F30" s="34">
        <v>230272.67911462925</v>
      </c>
      <c r="G30" s="46">
        <v>0</v>
      </c>
      <c r="H30" s="34">
        <v>28955.339211463299</v>
      </c>
      <c r="I30" s="35"/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46">
        <v>0</v>
      </c>
      <c r="P30" s="34">
        <v>0</v>
      </c>
      <c r="Q30" s="34">
        <v>159263.92639999997</v>
      </c>
      <c r="R30" s="34">
        <v>31198.599399999988</v>
      </c>
      <c r="S30" s="34">
        <v>51182.5</v>
      </c>
      <c r="T30" s="34">
        <v>28411.25</v>
      </c>
      <c r="U30" s="34">
        <v>122181.08120275414</v>
      </c>
      <c r="V30" s="35"/>
      <c r="W30" s="45">
        <f t="shared" si="5"/>
        <v>741976.06319649389</v>
      </c>
      <c r="X30" s="45">
        <f t="shared" si="10"/>
        <v>312643.60700275411</v>
      </c>
      <c r="Y30" s="46">
        <f t="shared" si="0"/>
        <v>429332.45619373978</v>
      </c>
      <c r="Z30" s="52">
        <f t="shared" si="11"/>
        <v>2.3732328011106838</v>
      </c>
      <c r="AA30" s="4"/>
      <c r="AB30" s="45">
        <f t="shared" si="6"/>
        <v>713020.72398503055</v>
      </c>
      <c r="AC30" s="45">
        <f t="shared" si="7"/>
        <v>312643.60700275411</v>
      </c>
      <c r="AD30" s="46">
        <f t="shared" si="2"/>
        <v>400377.11698227644</v>
      </c>
      <c r="AE30" s="52">
        <f t="shared" si="3"/>
        <v>2.280618275935991</v>
      </c>
      <c r="AF30" s="4"/>
      <c r="AG30" s="45">
        <v>391579.71227751684</v>
      </c>
      <c r="AH30" s="45">
        <f t="shared" si="8"/>
        <v>270056.27579999994</v>
      </c>
      <c r="AI30" s="46">
        <f t="shared" si="4"/>
        <v>121523.43647751689</v>
      </c>
      <c r="AJ30" s="52">
        <f t="shared" si="9"/>
        <v>1.4499930102254521</v>
      </c>
      <c r="AK30" s="4"/>
    </row>
    <row r="31" spans="1:37" s="3" customFormat="1" x14ac:dyDescent="0.35">
      <c r="A31" s="37" t="s">
        <v>97</v>
      </c>
      <c r="B31" s="36">
        <v>35530342.929145344</v>
      </c>
      <c r="C31" s="36">
        <v>0</v>
      </c>
      <c r="D31" s="34">
        <v>0</v>
      </c>
      <c r="E31" s="36">
        <v>3717816.4484505807</v>
      </c>
      <c r="F31" s="34">
        <v>14189973.204618007</v>
      </c>
      <c r="G31" s="46">
        <v>0</v>
      </c>
      <c r="H31" s="34">
        <v>2387519.1906601656</v>
      </c>
      <c r="I31" s="35"/>
      <c r="J31" s="34">
        <v>0</v>
      </c>
      <c r="K31" s="34">
        <v>3326956.0666392744</v>
      </c>
      <c r="L31" s="34">
        <v>0</v>
      </c>
      <c r="M31" s="34">
        <v>0</v>
      </c>
      <c r="N31" s="34">
        <v>0</v>
      </c>
      <c r="O31" s="46">
        <v>0</v>
      </c>
      <c r="P31" s="34">
        <v>0</v>
      </c>
      <c r="Q31" s="34">
        <v>5128122.3127000006</v>
      </c>
      <c r="R31" s="34">
        <v>0</v>
      </c>
      <c r="S31" s="34">
        <v>11027262.8498</v>
      </c>
      <c r="T31" s="34">
        <v>0</v>
      </c>
      <c r="U31" s="34">
        <v>5507730.0340300053</v>
      </c>
      <c r="V31" s="35"/>
      <c r="W31" s="45">
        <f t="shared" si="5"/>
        <v>55825651.772874095</v>
      </c>
      <c r="X31" s="45">
        <f t="shared" si="10"/>
        <v>13962808.413369281</v>
      </c>
      <c r="Y31" s="46">
        <f t="shared" si="0"/>
        <v>41862843.359504811</v>
      </c>
      <c r="Z31" s="52">
        <f t="shared" si="11"/>
        <v>3.9981678556458213</v>
      </c>
      <c r="AA31" s="4"/>
      <c r="AB31" s="45">
        <f t="shared" si="6"/>
        <v>53438132.582213931</v>
      </c>
      <c r="AC31" s="45">
        <f t="shared" si="7"/>
        <v>13962808.413369281</v>
      </c>
      <c r="AD31" s="46">
        <f t="shared" si="2"/>
        <v>39475324.168844648</v>
      </c>
      <c r="AE31" s="52">
        <f t="shared" si="3"/>
        <v>3.8271765249637983</v>
      </c>
      <c r="AF31" s="4"/>
      <c r="AG31" s="45">
        <v>35530342.929145344</v>
      </c>
      <c r="AH31" s="45">
        <f t="shared" si="8"/>
        <v>19482341.229139276</v>
      </c>
      <c r="AI31" s="46">
        <f t="shared" si="4"/>
        <v>16048001.700006068</v>
      </c>
      <c r="AJ31" s="52">
        <f t="shared" si="9"/>
        <v>1.8237203892108949</v>
      </c>
      <c r="AK31" s="4"/>
    </row>
    <row r="32" spans="1:37" s="3" customFormat="1" x14ac:dyDescent="0.35">
      <c r="A32" s="37" t="s">
        <v>98</v>
      </c>
      <c r="B32" s="36">
        <v>494315.38429543684</v>
      </c>
      <c r="C32" s="36">
        <v>585430.08276627748</v>
      </c>
      <c r="D32" s="34">
        <v>0</v>
      </c>
      <c r="E32" s="36">
        <v>0</v>
      </c>
      <c r="F32" s="34">
        <v>421814.64551102801</v>
      </c>
      <c r="G32" s="46">
        <v>0</v>
      </c>
      <c r="H32" s="34">
        <v>38686.117925413237</v>
      </c>
      <c r="I32" s="35"/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46">
        <v>0</v>
      </c>
      <c r="P32" s="34">
        <v>0</v>
      </c>
      <c r="Q32" s="34">
        <v>236868.0737000001</v>
      </c>
      <c r="R32" s="34">
        <v>294295.54870000004</v>
      </c>
      <c r="S32" s="34">
        <v>206509.69999999998</v>
      </c>
      <c r="T32" s="34">
        <v>92829.689999999988</v>
      </c>
      <c r="U32" s="34">
        <v>605602.55000000005</v>
      </c>
      <c r="V32" s="35"/>
      <c r="W32" s="45">
        <f t="shared" si="5"/>
        <v>1540246.2304981553</v>
      </c>
      <c r="X32" s="45">
        <f t="shared" si="10"/>
        <v>1136766.1724000003</v>
      </c>
      <c r="Y32" s="46">
        <f t="shared" si="0"/>
        <v>403480.05809815507</v>
      </c>
      <c r="Z32" s="52">
        <f t="shared" si="11"/>
        <v>1.3549367212839443</v>
      </c>
      <c r="AA32" s="4"/>
      <c r="AB32" s="45">
        <f t="shared" si="6"/>
        <v>1501560.1125727422</v>
      </c>
      <c r="AC32" s="45">
        <f t="shared" si="7"/>
        <v>1136766.1724000003</v>
      </c>
      <c r="AD32" s="46">
        <f t="shared" si="2"/>
        <v>364793.94017274189</v>
      </c>
      <c r="AE32" s="52">
        <f t="shared" si="3"/>
        <v>1.3209049926270851</v>
      </c>
      <c r="AF32" s="4"/>
      <c r="AG32" s="45">
        <v>642049.57166520273</v>
      </c>
      <c r="AH32" s="45">
        <f t="shared" si="8"/>
        <v>830503.01240000001</v>
      </c>
      <c r="AI32" s="46">
        <f t="shared" si="4"/>
        <v>-188453.44073479727</v>
      </c>
      <c r="AJ32" s="52">
        <f t="shared" si="9"/>
        <v>0.7730851810034961</v>
      </c>
      <c r="AK32" s="4"/>
    </row>
    <row r="33" spans="1:37" s="3" customFormat="1" x14ac:dyDescent="0.35">
      <c r="A33" s="37" t="s">
        <v>99</v>
      </c>
      <c r="B33" s="36">
        <v>1235758.6752216816</v>
      </c>
      <c r="C33" s="36">
        <v>0</v>
      </c>
      <c r="D33" s="34">
        <v>0</v>
      </c>
      <c r="E33" s="36">
        <v>0</v>
      </c>
      <c r="F33" s="34">
        <v>1067964.2782538878</v>
      </c>
      <c r="G33" s="46">
        <v>0</v>
      </c>
      <c r="H33" s="34">
        <v>210186.59860255095</v>
      </c>
      <c r="I33" s="35"/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46">
        <v>0</v>
      </c>
      <c r="P33" s="34">
        <v>0</v>
      </c>
      <c r="Q33" s="34">
        <v>1495185.9652</v>
      </c>
      <c r="R33" s="34">
        <v>34651.99980000002</v>
      </c>
      <c r="S33" s="34">
        <v>107486.1</v>
      </c>
      <c r="T33" s="34">
        <v>33631</v>
      </c>
      <c r="U33" s="34">
        <v>1122837.7665299999</v>
      </c>
      <c r="V33" s="35"/>
      <c r="W33" s="45">
        <f t="shared" si="5"/>
        <v>2513909.5520781204</v>
      </c>
      <c r="X33" s="45">
        <f t="shared" si="10"/>
        <v>2652675.73153</v>
      </c>
      <c r="Y33" s="46">
        <f t="shared" si="0"/>
        <v>-138766.17945187958</v>
      </c>
      <c r="Z33" s="52">
        <f t="shared" si="11"/>
        <v>0.94768822370465822</v>
      </c>
      <c r="AA33" s="4"/>
      <c r="AB33" s="45">
        <f t="shared" si="6"/>
        <v>2303722.9534755694</v>
      </c>
      <c r="AC33" s="45">
        <f t="shared" si="7"/>
        <v>2652675.73153</v>
      </c>
      <c r="AD33" s="46">
        <f t="shared" si="2"/>
        <v>-348952.77805443062</v>
      </c>
      <c r="AE33" s="52">
        <f t="shared" si="3"/>
        <v>0.86845253119077503</v>
      </c>
      <c r="AF33" s="4"/>
      <c r="AG33" s="45">
        <v>1235758.6752216816</v>
      </c>
      <c r="AH33" s="45">
        <f t="shared" si="8"/>
        <v>1670955.0650000002</v>
      </c>
      <c r="AI33" s="46">
        <f t="shared" si="4"/>
        <v>-435196.38977831858</v>
      </c>
      <c r="AJ33" s="52">
        <f t="shared" si="9"/>
        <v>0.73955230820146645</v>
      </c>
      <c r="AK33" s="4"/>
    </row>
    <row r="34" spans="1:37" s="3" customFormat="1" x14ac:dyDescent="0.35">
      <c r="A34" s="38" t="s">
        <v>100</v>
      </c>
      <c r="B34" s="36">
        <v>45896.415549727768</v>
      </c>
      <c r="C34" s="36">
        <v>0</v>
      </c>
      <c r="D34" s="34">
        <v>0</v>
      </c>
      <c r="E34" s="36">
        <v>7998.4000000000005</v>
      </c>
      <c r="F34" s="34">
        <v>43687.072003573507</v>
      </c>
      <c r="G34" s="46">
        <v>0</v>
      </c>
      <c r="H34" s="34">
        <v>5355.6422714305345</v>
      </c>
      <c r="I34" s="35"/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46">
        <v>0</v>
      </c>
      <c r="P34" s="34">
        <v>0</v>
      </c>
      <c r="Q34" s="34">
        <v>81966.674599999998</v>
      </c>
      <c r="R34" s="34">
        <v>0</v>
      </c>
      <c r="S34" s="34">
        <v>12039.5</v>
      </c>
      <c r="T34" s="34">
        <v>0</v>
      </c>
      <c r="U34" s="34">
        <v>14392</v>
      </c>
      <c r="V34" s="35"/>
      <c r="W34" s="45">
        <f t="shared" si="5"/>
        <v>102937.52982473181</v>
      </c>
      <c r="X34" s="45">
        <f t="shared" si="10"/>
        <v>96358.674599999998</v>
      </c>
      <c r="Y34" s="46">
        <f t="shared" si="0"/>
        <v>6578.8552247318148</v>
      </c>
      <c r="Z34" s="52">
        <f t="shared" si="11"/>
        <v>1.06827465458654</v>
      </c>
      <c r="AA34" s="4"/>
      <c r="AB34" s="45">
        <f t="shared" si="6"/>
        <v>97581.887553301276</v>
      </c>
      <c r="AC34" s="45">
        <f t="shared" si="7"/>
        <v>96358.674599999998</v>
      </c>
      <c r="AD34" s="46">
        <f t="shared" si="2"/>
        <v>1223.2129533012776</v>
      </c>
      <c r="AE34" s="52">
        <f t="shared" si="3"/>
        <v>1.0126943729599751</v>
      </c>
      <c r="AF34" s="4"/>
      <c r="AG34" s="45">
        <v>45896.415549727768</v>
      </c>
      <c r="AH34" s="45">
        <f t="shared" si="8"/>
        <v>94006.174599999998</v>
      </c>
      <c r="AI34" s="46">
        <f t="shared" si="4"/>
        <v>-48109.759050272231</v>
      </c>
      <c r="AJ34" s="52">
        <f t="shared" si="9"/>
        <v>0.48822766956552416</v>
      </c>
      <c r="AK34" s="4"/>
    </row>
    <row r="35" spans="1:37" s="3" customFormat="1" x14ac:dyDescent="0.35">
      <c r="A35" s="38" t="s">
        <v>101</v>
      </c>
      <c r="B35" s="36">
        <v>4227733.9913379252</v>
      </c>
      <c r="C35" s="36">
        <v>0</v>
      </c>
      <c r="D35" s="34">
        <v>0</v>
      </c>
      <c r="E35" s="36">
        <v>1067747.05</v>
      </c>
      <c r="F35" s="34">
        <v>4021174.1447501709</v>
      </c>
      <c r="G35" s="46">
        <v>0</v>
      </c>
      <c r="H35" s="34">
        <v>495157.61557846173</v>
      </c>
      <c r="I35" s="35"/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46">
        <v>0</v>
      </c>
      <c r="P35" s="34">
        <v>0</v>
      </c>
      <c r="Q35" s="34">
        <v>3155.7641999999996</v>
      </c>
      <c r="R35" s="34">
        <v>0</v>
      </c>
      <c r="S35" s="34">
        <v>709118.56</v>
      </c>
      <c r="T35" s="34">
        <v>0</v>
      </c>
      <c r="U35" s="34">
        <v>1096377.3599999999</v>
      </c>
      <c r="V35" s="35"/>
      <c r="W35" s="45">
        <f t="shared" si="5"/>
        <v>9811812.8016665578</v>
      </c>
      <c r="X35" s="45">
        <f t="shared" si="10"/>
        <v>1099533.1242</v>
      </c>
      <c r="Y35" s="46">
        <f t="shared" si="0"/>
        <v>8712279.6774665583</v>
      </c>
      <c r="Z35" s="52">
        <f t="shared" si="11"/>
        <v>8.9236172932993281</v>
      </c>
      <c r="AA35" s="4"/>
      <c r="AB35" s="45">
        <f t="shared" si="6"/>
        <v>9316655.1860880964</v>
      </c>
      <c r="AC35" s="45">
        <f t="shared" si="7"/>
        <v>1099533.1242</v>
      </c>
      <c r="AD35" s="46">
        <f t="shared" si="2"/>
        <v>8217122.0618880969</v>
      </c>
      <c r="AE35" s="52">
        <f t="shared" si="3"/>
        <v>8.4732828698241569</v>
      </c>
      <c r="AF35" s="4"/>
      <c r="AG35" s="45">
        <v>4227733.9913379252</v>
      </c>
      <c r="AH35" s="45">
        <f t="shared" si="8"/>
        <v>712274.32420000003</v>
      </c>
      <c r="AI35" s="46">
        <f t="shared" si="4"/>
        <v>3515459.667137925</v>
      </c>
      <c r="AJ35" s="52">
        <f t="shared" si="9"/>
        <v>5.935541753644368</v>
      </c>
      <c r="AK35" s="4"/>
    </row>
    <row r="36" spans="1:37" s="3" customFormat="1" ht="15" thickBot="1" x14ac:dyDescent="0.4">
      <c r="A36" s="38" t="s">
        <v>88</v>
      </c>
      <c r="B36" s="36">
        <v>0</v>
      </c>
      <c r="C36" s="36">
        <v>0</v>
      </c>
      <c r="D36" s="34">
        <v>0</v>
      </c>
      <c r="E36" s="36">
        <v>0</v>
      </c>
      <c r="F36" s="34">
        <v>0</v>
      </c>
      <c r="G36" s="46">
        <v>0</v>
      </c>
      <c r="H36" s="34">
        <v>0</v>
      </c>
      <c r="I36" s="35"/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>
        <v>0</v>
      </c>
      <c r="P36" s="34">
        <v>0</v>
      </c>
      <c r="Q36" s="34">
        <v>308237.44830000011</v>
      </c>
      <c r="R36" s="34">
        <v>32165.611200000014</v>
      </c>
      <c r="S36" s="34">
        <v>0</v>
      </c>
      <c r="T36" s="34">
        <v>0</v>
      </c>
      <c r="U36" s="34">
        <v>0</v>
      </c>
      <c r="V36" s="35"/>
      <c r="W36" s="53">
        <f t="shared" si="5"/>
        <v>0</v>
      </c>
      <c r="X36" s="53">
        <f t="shared" si="10"/>
        <v>340403.05950000009</v>
      </c>
      <c r="Y36" s="54">
        <f>W36-X36</f>
        <v>-340403.05950000009</v>
      </c>
      <c r="Z36" s="58">
        <f>W36/X36</f>
        <v>0</v>
      </c>
      <c r="AA36" s="4"/>
      <c r="AB36" s="53">
        <f t="shared" si="6"/>
        <v>0</v>
      </c>
      <c r="AC36" s="53">
        <f t="shared" si="7"/>
        <v>340403.05950000009</v>
      </c>
      <c r="AD36" s="54">
        <f>AB36-AC36</f>
        <v>-340403.05950000009</v>
      </c>
      <c r="AE36" s="58">
        <f>AB36/AC36</f>
        <v>0</v>
      </c>
      <c r="AF36" s="4"/>
      <c r="AG36" s="53">
        <v>0</v>
      </c>
      <c r="AH36" s="53">
        <f t="shared" si="8"/>
        <v>340403.05950000009</v>
      </c>
      <c r="AI36" s="54">
        <f>AG36-AH36</f>
        <v>-340403.05950000009</v>
      </c>
      <c r="AJ36" s="58">
        <f>AG36/AH36</f>
        <v>0</v>
      </c>
      <c r="AK36" s="4"/>
    </row>
    <row r="37" spans="1:37" x14ac:dyDescent="0.35">
      <c r="A37" s="40" t="s">
        <v>102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7">
        <v>0</v>
      </c>
      <c r="H37" s="41">
        <v>0</v>
      </c>
      <c r="I37" s="32"/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7">
        <v>0</v>
      </c>
      <c r="P37" s="41">
        <v>0</v>
      </c>
      <c r="Q37" s="41">
        <v>17905035.471892498</v>
      </c>
      <c r="R37" s="41">
        <v>1985457.8690970989</v>
      </c>
      <c r="S37" s="41">
        <v>-60224.456700000883</v>
      </c>
      <c r="T37" s="41">
        <v>-87096.999800000107</v>
      </c>
      <c r="U37" s="41">
        <v>0</v>
      </c>
      <c r="V37" s="32"/>
      <c r="W37" s="56">
        <f t="shared" si="5"/>
        <v>0</v>
      </c>
      <c r="X37" s="56">
        <f t="shared" si="10"/>
        <v>19890493.340989597</v>
      </c>
      <c r="Y37" s="47">
        <f>W37-X37</f>
        <v>-19890493.340989597</v>
      </c>
      <c r="Z37" s="59" t="s">
        <v>90</v>
      </c>
      <c r="AA37" s="5"/>
      <c r="AB37" s="56">
        <f t="shared" si="6"/>
        <v>0</v>
      </c>
      <c r="AC37" s="56">
        <f t="shared" si="7"/>
        <v>19890493.340989597</v>
      </c>
      <c r="AD37" s="47">
        <f t="shared" si="2"/>
        <v>-19890493.340989597</v>
      </c>
      <c r="AE37" s="59" t="s">
        <v>90</v>
      </c>
      <c r="AF37" s="5"/>
      <c r="AG37" s="56">
        <v>0</v>
      </c>
      <c r="AH37" s="56">
        <f t="shared" si="8"/>
        <v>19743171.884489596</v>
      </c>
      <c r="AI37" s="47">
        <f t="shared" si="4"/>
        <v>-19743171.884489596</v>
      </c>
      <c r="AJ37" s="59" t="s">
        <v>90</v>
      </c>
      <c r="AK37" s="5"/>
    </row>
    <row r="38" spans="1:37" s="3" customFormat="1" x14ac:dyDescent="0.35">
      <c r="A38" s="37" t="s">
        <v>103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46">
        <v>0</v>
      </c>
      <c r="H38" s="34">
        <v>0</v>
      </c>
      <c r="I38" s="35"/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46">
        <v>0</v>
      </c>
      <c r="P38" s="34">
        <v>0</v>
      </c>
      <c r="Q38" s="34">
        <v>3642202.3</v>
      </c>
      <c r="R38" s="34">
        <v>0</v>
      </c>
      <c r="S38" s="34">
        <v>0</v>
      </c>
      <c r="T38" s="34">
        <v>0</v>
      </c>
      <c r="U38" s="34">
        <v>0</v>
      </c>
      <c r="V38" s="35"/>
      <c r="W38" s="45">
        <f t="shared" si="5"/>
        <v>0</v>
      </c>
      <c r="X38" s="45">
        <f t="shared" si="10"/>
        <v>3642202.3</v>
      </c>
      <c r="Y38" s="46">
        <f t="shared" si="0"/>
        <v>-3642202.3</v>
      </c>
      <c r="Z38" s="55" t="s">
        <v>90</v>
      </c>
      <c r="AA38" s="4"/>
      <c r="AB38" s="45">
        <f t="shared" si="6"/>
        <v>0</v>
      </c>
      <c r="AC38" s="45">
        <f t="shared" si="7"/>
        <v>3642202.3</v>
      </c>
      <c r="AD38" s="46">
        <f t="shared" si="2"/>
        <v>-3642202.3</v>
      </c>
      <c r="AE38" s="55" t="s">
        <v>90</v>
      </c>
      <c r="AF38" s="4"/>
      <c r="AG38" s="45">
        <v>0</v>
      </c>
      <c r="AH38" s="45">
        <f t="shared" si="8"/>
        <v>3642202.3</v>
      </c>
      <c r="AI38" s="46">
        <f t="shared" si="4"/>
        <v>-3642202.3</v>
      </c>
      <c r="AJ38" s="55" t="s">
        <v>90</v>
      </c>
      <c r="AK38" s="4"/>
    </row>
    <row r="39" spans="1:37" s="3" customFormat="1" x14ac:dyDescent="0.35">
      <c r="A39" s="37" t="s">
        <v>104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46">
        <v>0</v>
      </c>
      <c r="H39" s="34">
        <v>0</v>
      </c>
      <c r="I39" s="35"/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6">
        <v>0</v>
      </c>
      <c r="P39" s="34">
        <v>0</v>
      </c>
      <c r="Q39" s="34">
        <v>3189534.11</v>
      </c>
      <c r="R39" s="34">
        <v>499433.01</v>
      </c>
      <c r="S39" s="34">
        <v>0</v>
      </c>
      <c r="T39" s="34">
        <v>0</v>
      </c>
      <c r="U39" s="34">
        <v>0</v>
      </c>
      <c r="V39" s="35"/>
      <c r="W39" s="45">
        <f t="shared" si="5"/>
        <v>0</v>
      </c>
      <c r="X39" s="45">
        <f t="shared" si="10"/>
        <v>3688967.12</v>
      </c>
      <c r="Y39" s="46">
        <f t="shared" si="0"/>
        <v>-3688967.12</v>
      </c>
      <c r="Z39" s="55" t="s">
        <v>90</v>
      </c>
      <c r="AA39" s="4"/>
      <c r="AB39" s="45">
        <f t="shared" si="6"/>
        <v>0</v>
      </c>
      <c r="AC39" s="45">
        <f t="shared" si="7"/>
        <v>3688967.12</v>
      </c>
      <c r="AD39" s="46">
        <f t="shared" si="2"/>
        <v>-3688967.12</v>
      </c>
      <c r="AE39" s="55" t="s">
        <v>90</v>
      </c>
      <c r="AF39" s="4"/>
      <c r="AG39" s="45">
        <v>0</v>
      </c>
      <c r="AH39" s="45">
        <f t="shared" si="8"/>
        <v>3688967.12</v>
      </c>
      <c r="AI39" s="46">
        <f t="shared" si="4"/>
        <v>-3688967.12</v>
      </c>
      <c r="AJ39" s="55" t="s">
        <v>90</v>
      </c>
      <c r="AK39" s="4"/>
    </row>
    <row r="40" spans="1:37" s="3" customFormat="1" x14ac:dyDescent="0.35">
      <c r="A40" s="37" t="s">
        <v>105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46">
        <v>0</v>
      </c>
      <c r="H40" s="34">
        <v>0</v>
      </c>
      <c r="I40" s="35"/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46">
        <v>0</v>
      </c>
      <c r="P40" s="34">
        <v>0</v>
      </c>
      <c r="Q40" s="34">
        <v>3322499.1</v>
      </c>
      <c r="R40" s="34">
        <v>448285.35000000003</v>
      </c>
      <c r="S40" s="34">
        <v>0</v>
      </c>
      <c r="T40" s="34">
        <v>0</v>
      </c>
      <c r="U40" s="34">
        <v>0</v>
      </c>
      <c r="V40" s="35"/>
      <c r="W40" s="45">
        <f t="shared" si="5"/>
        <v>0</v>
      </c>
      <c r="X40" s="45">
        <f t="shared" si="10"/>
        <v>3770784.45</v>
      </c>
      <c r="Y40" s="46">
        <f t="shared" si="0"/>
        <v>-3770784.45</v>
      </c>
      <c r="Z40" s="55" t="s">
        <v>90</v>
      </c>
      <c r="AA40" s="4"/>
      <c r="AB40" s="45">
        <f t="shared" si="6"/>
        <v>0</v>
      </c>
      <c r="AC40" s="45">
        <f t="shared" si="7"/>
        <v>3770784.45</v>
      </c>
      <c r="AD40" s="46">
        <f t="shared" si="2"/>
        <v>-3770784.45</v>
      </c>
      <c r="AE40" s="55" t="s">
        <v>90</v>
      </c>
      <c r="AF40" s="4"/>
      <c r="AG40" s="45">
        <v>0</v>
      </c>
      <c r="AH40" s="45">
        <f t="shared" si="8"/>
        <v>3770784.45</v>
      </c>
      <c r="AI40" s="46">
        <f t="shared" si="4"/>
        <v>-3770784.45</v>
      </c>
      <c r="AJ40" s="55" t="s">
        <v>90</v>
      </c>
      <c r="AK40" s="4"/>
    </row>
    <row r="41" spans="1:37" s="3" customFormat="1" x14ac:dyDescent="0.35">
      <c r="A41" s="38" t="s">
        <v>106</v>
      </c>
      <c r="B41" s="39">
        <v>0</v>
      </c>
      <c r="C41" s="39">
        <v>0</v>
      </c>
      <c r="D41" s="39">
        <v>0</v>
      </c>
      <c r="E41" s="39">
        <v>0</v>
      </c>
      <c r="F41" s="34">
        <v>0</v>
      </c>
      <c r="G41" s="46">
        <v>0</v>
      </c>
      <c r="H41" s="34">
        <v>0</v>
      </c>
      <c r="I41" s="35"/>
      <c r="J41" s="39">
        <v>0</v>
      </c>
      <c r="K41" s="39">
        <v>0</v>
      </c>
      <c r="L41" s="39">
        <v>0</v>
      </c>
      <c r="M41" s="39">
        <v>0</v>
      </c>
      <c r="N41" s="34">
        <v>0</v>
      </c>
      <c r="O41" s="46">
        <v>0</v>
      </c>
      <c r="P41" s="39">
        <v>0</v>
      </c>
      <c r="Q41" s="39">
        <v>6531501.3399999999</v>
      </c>
      <c r="R41" s="34">
        <v>876252.22</v>
      </c>
      <c r="S41" s="34">
        <v>0</v>
      </c>
      <c r="T41" s="34">
        <v>0</v>
      </c>
      <c r="U41" s="34">
        <v>0</v>
      </c>
      <c r="V41" s="35"/>
      <c r="W41" s="45">
        <f t="shared" si="5"/>
        <v>0</v>
      </c>
      <c r="X41" s="45">
        <f t="shared" si="10"/>
        <v>7407753.5599999996</v>
      </c>
      <c r="Y41" s="54">
        <f t="shared" si="0"/>
        <v>-7407753.5599999996</v>
      </c>
      <c r="Z41" s="60" t="s">
        <v>90</v>
      </c>
      <c r="AA41" s="4"/>
      <c r="AB41" s="45">
        <f t="shared" si="6"/>
        <v>0</v>
      </c>
      <c r="AC41" s="45">
        <f t="shared" si="7"/>
        <v>7407753.5599999996</v>
      </c>
      <c r="AD41" s="54">
        <f t="shared" si="2"/>
        <v>-7407753.5599999996</v>
      </c>
      <c r="AE41" s="60" t="s">
        <v>90</v>
      </c>
      <c r="AF41" s="4"/>
      <c r="AG41" s="45">
        <v>0</v>
      </c>
      <c r="AH41" s="45">
        <f t="shared" si="8"/>
        <v>7407753.5599999996</v>
      </c>
      <c r="AI41" s="54">
        <f t="shared" si="4"/>
        <v>-7407753.5599999996</v>
      </c>
      <c r="AJ41" s="60" t="s">
        <v>90</v>
      </c>
      <c r="AK41" s="4"/>
    </row>
    <row r="42" spans="1:37" s="3" customFormat="1" ht="15" thickBot="1" x14ac:dyDescent="0.4">
      <c r="A42" s="37" t="s">
        <v>107</v>
      </c>
      <c r="B42" s="39">
        <v>0</v>
      </c>
      <c r="C42" s="39">
        <v>0</v>
      </c>
      <c r="D42" s="39">
        <v>0</v>
      </c>
      <c r="E42" s="39">
        <v>0</v>
      </c>
      <c r="F42" s="34">
        <v>0</v>
      </c>
      <c r="G42" s="46">
        <v>0</v>
      </c>
      <c r="H42" s="34">
        <v>0</v>
      </c>
      <c r="I42" s="35"/>
      <c r="J42" s="39">
        <v>0</v>
      </c>
      <c r="K42" s="39">
        <v>0</v>
      </c>
      <c r="L42" s="39">
        <v>0</v>
      </c>
      <c r="M42" s="39">
        <v>0</v>
      </c>
      <c r="N42" s="34">
        <v>0</v>
      </c>
      <c r="O42" s="46">
        <v>0</v>
      </c>
      <c r="P42" s="39">
        <v>0</v>
      </c>
      <c r="Q42" s="39">
        <v>1219298.6218924981</v>
      </c>
      <c r="R42" s="34">
        <v>161487.28909709884</v>
      </c>
      <c r="S42" s="34">
        <v>-60224.456700000883</v>
      </c>
      <c r="T42" s="34">
        <v>-87096.999800000107</v>
      </c>
      <c r="U42" s="34">
        <v>0</v>
      </c>
      <c r="V42" s="35"/>
      <c r="W42" s="45">
        <f t="shared" si="5"/>
        <v>0</v>
      </c>
      <c r="X42" s="45">
        <f t="shared" si="10"/>
        <v>1380785.910989597</v>
      </c>
      <c r="Y42" s="54">
        <f t="shared" si="0"/>
        <v>-1380785.910989597</v>
      </c>
      <c r="Z42" s="60" t="s">
        <v>90</v>
      </c>
      <c r="AA42" s="4"/>
      <c r="AB42" s="45">
        <f t="shared" si="6"/>
        <v>0</v>
      </c>
      <c r="AC42" s="45">
        <f t="shared" si="7"/>
        <v>1380785.910989597</v>
      </c>
      <c r="AD42" s="54">
        <f t="shared" si="2"/>
        <v>-1380785.910989597</v>
      </c>
      <c r="AE42" s="60" t="s">
        <v>90</v>
      </c>
      <c r="AF42" s="4"/>
      <c r="AG42" s="45">
        <v>0</v>
      </c>
      <c r="AH42" s="45">
        <f t="shared" si="8"/>
        <v>1233464.454489596</v>
      </c>
      <c r="AI42" s="54">
        <f t="shared" si="4"/>
        <v>-1233464.454489596</v>
      </c>
      <c r="AJ42" s="60" t="s">
        <v>90</v>
      </c>
      <c r="AK42" s="4"/>
    </row>
    <row r="43" spans="1:37" ht="15" thickBot="1" x14ac:dyDescent="0.4">
      <c r="A43" s="48" t="s">
        <v>108</v>
      </c>
      <c r="B43" s="48">
        <f>B4+B25+B37</f>
        <v>210884473.81369853</v>
      </c>
      <c r="C43" s="48">
        <f t="shared" ref="C43:E43" si="12">C4+C25+C37</f>
        <v>78270839.495663121</v>
      </c>
      <c r="D43" s="48">
        <f t="shared" si="12"/>
        <v>16528837.829491908</v>
      </c>
      <c r="E43" s="48">
        <f t="shared" si="12"/>
        <v>28501264.536900647</v>
      </c>
      <c r="F43" s="48">
        <f>F4+F25+F37</f>
        <v>134650195.24817973</v>
      </c>
      <c r="G43" s="48">
        <f>SUM(G5:G42)</f>
        <v>30932.000000000004</v>
      </c>
      <c r="H43" s="48">
        <f>H4+H25+H37</f>
        <v>17618193.023115031</v>
      </c>
      <c r="I43" s="48"/>
      <c r="J43" s="48">
        <f>J4+J25+J37</f>
        <v>218835.14092029416</v>
      </c>
      <c r="K43" s="48">
        <f t="shared" ref="K43:U43" si="13">K4+K25+K37</f>
        <v>10882133.077475201</v>
      </c>
      <c r="L43" s="48">
        <f t="shared" si="13"/>
        <v>0</v>
      </c>
      <c r="M43" s="48">
        <f t="shared" si="13"/>
        <v>4511.0484691443862</v>
      </c>
      <c r="N43" s="48">
        <f t="shared" si="13"/>
        <v>0</v>
      </c>
      <c r="O43" s="48">
        <v>0</v>
      </c>
      <c r="P43" s="48">
        <f>P4+P25+P37</f>
        <v>8260.3981325053082</v>
      </c>
      <c r="Q43" s="48">
        <f t="shared" si="13"/>
        <v>57799218.585192509</v>
      </c>
      <c r="R43" s="48">
        <f t="shared" si="13"/>
        <v>7169612.5636970978</v>
      </c>
      <c r="S43" s="48">
        <f t="shared" si="13"/>
        <v>64644878.448500007</v>
      </c>
      <c r="T43" s="48">
        <f t="shared" si="13"/>
        <v>8909854.8801000006</v>
      </c>
      <c r="U43" s="48">
        <f t="shared" si="13"/>
        <v>91428159.943825632</v>
      </c>
      <c r="V43" s="43"/>
      <c r="W43" s="48">
        <f>SUM(B43:H43)</f>
        <v>486484735.94704896</v>
      </c>
      <c r="X43" s="48">
        <f>SUM(J43:U43)-SUM(S43:T43)</f>
        <v>167510730.75771242</v>
      </c>
      <c r="Y43" s="48">
        <f>W43-X43</f>
        <v>318974005.18933654</v>
      </c>
      <c r="Z43" s="61">
        <f>W43/X43</f>
        <v>2.9042004279158729</v>
      </c>
      <c r="AA43" s="62"/>
      <c r="AB43" s="48">
        <f>B43+C43+D43+E43+F43</f>
        <v>468835610.92393392</v>
      </c>
      <c r="AC43" s="48">
        <f t="shared" si="7"/>
        <v>167502470.35957992</v>
      </c>
      <c r="AD43" s="48">
        <f>AB43-AC43</f>
        <v>301333140.564354</v>
      </c>
      <c r="AE43" s="61">
        <f>AB43/AC43</f>
        <v>2.7989772922003948</v>
      </c>
      <c r="AF43" s="62"/>
      <c r="AG43" s="48">
        <v>231622363.18054032</v>
      </c>
      <c r="AH43" s="48">
        <f>Q43+R43+S43+T43+J43+K43</f>
        <v>149624532.69588509</v>
      </c>
      <c r="AI43" s="48">
        <f>AG43-AH43</f>
        <v>81997830.484655231</v>
      </c>
      <c r="AJ43" s="61">
        <f>AG43/AH43</f>
        <v>1.5480239704495351</v>
      </c>
      <c r="AK43" s="62"/>
    </row>
    <row r="44" spans="1:37" x14ac:dyDescent="0.35">
      <c r="A44" s="48" t="s">
        <v>109</v>
      </c>
      <c r="B44" s="48">
        <f>B43-SUM(B6:B17)</f>
        <v>167130407.19437549</v>
      </c>
      <c r="C44" s="48">
        <f t="shared" ref="C44:F44" si="14">C43-SUM(C6:C17)</f>
        <v>70885914.836812466</v>
      </c>
      <c r="D44" s="48">
        <f t="shared" si="14"/>
        <v>11620766.022441454</v>
      </c>
      <c r="E44" s="48">
        <f t="shared" si="14"/>
        <v>16926507.118644342</v>
      </c>
      <c r="F44" s="48">
        <f t="shared" si="14"/>
        <v>109125748.45567745</v>
      </c>
      <c r="G44" s="48">
        <v>0</v>
      </c>
      <c r="H44" s="48">
        <f>H43-SUM(H6:H17)</f>
        <v>13284780.178511482</v>
      </c>
      <c r="I44" s="48"/>
      <c r="J44" s="48">
        <f>J43-SUM(J6:J17)</f>
        <v>161054.11636609575</v>
      </c>
      <c r="K44" s="48">
        <f t="shared" ref="K44:U44" si="15">K43-SUM(K6:K17)</f>
        <v>5655168.8504256299</v>
      </c>
      <c r="L44" s="48">
        <f t="shared" si="15"/>
        <v>0</v>
      </c>
      <c r="M44" s="48">
        <f t="shared" si="15"/>
        <v>4511.0484691443862</v>
      </c>
      <c r="N44" s="48">
        <f t="shared" si="15"/>
        <v>0</v>
      </c>
      <c r="O44" s="48">
        <v>0</v>
      </c>
      <c r="P44" s="48">
        <f>P43-SUM(P6:P17)</f>
        <v>0</v>
      </c>
      <c r="Q44" s="48">
        <f t="shared" si="15"/>
        <v>40138708.695792511</v>
      </c>
      <c r="R44" s="48">
        <f t="shared" si="15"/>
        <v>4695350.8084970973</v>
      </c>
      <c r="S44" s="48">
        <f t="shared" si="15"/>
        <v>33085571.880600005</v>
      </c>
      <c r="T44" s="48">
        <f t="shared" si="15"/>
        <v>2938160.8882999988</v>
      </c>
      <c r="U44" s="48">
        <f t="shared" si="15"/>
        <v>59188642.812019989</v>
      </c>
      <c r="V44" s="43"/>
      <c r="W44" s="48">
        <f>W43-SUM(W6:W17)</f>
        <v>388974123.80646265</v>
      </c>
      <c r="X44" s="48">
        <f>X43-SUM(X6:X17)</f>
        <v>109843436.33157052</v>
      </c>
      <c r="Y44" s="48">
        <f>Y43-SUM(Y6:Y17)</f>
        <v>279130687.47489214</v>
      </c>
      <c r="Z44" s="61">
        <f>W44/X44</f>
        <v>3.5411685649774789</v>
      </c>
      <c r="AA44" s="62"/>
      <c r="AB44" s="48">
        <f>AB43-SUM(AB6:AB17)</f>
        <v>375689343.6279512</v>
      </c>
      <c r="AC44" s="48">
        <f>AC43-SUM(AC6:AC17)</f>
        <v>109843436.33157054</v>
      </c>
      <c r="AD44" s="48">
        <f>AD43-SUM(AD6:AD17)</f>
        <v>265845907.29638064</v>
      </c>
      <c r="AE44" s="61">
        <f>AB44/AC44</f>
        <v>3.4202256973635197</v>
      </c>
      <c r="AF44" s="62"/>
      <c r="AG44" s="48">
        <f>AG43-SUM(AG6:AG17)</f>
        <v>181854444.11448789</v>
      </c>
      <c r="AH44" s="48">
        <f>AH43-SUM(AH6:AH17)</f>
        <v>86674015.239981338</v>
      </c>
      <c r="AI44" s="48">
        <f>AI43-SUM(AI6:AI17)</f>
        <v>95180428.874506548</v>
      </c>
      <c r="AJ44" s="61">
        <f>AG44/AH44</f>
        <v>2.098142604919973</v>
      </c>
      <c r="AK44" s="62"/>
    </row>
    <row r="45" spans="1:37" x14ac:dyDescent="0.35">
      <c r="G45" s="2"/>
      <c r="I45" s="42"/>
      <c r="J45" s="42"/>
      <c r="K45" s="42"/>
      <c r="L45" s="42"/>
      <c r="M45" s="42"/>
      <c r="N45" s="42"/>
      <c r="O45" s="1"/>
      <c r="P45" s="42"/>
      <c r="Q45" s="42"/>
      <c r="R45" s="42"/>
      <c r="S45" s="42"/>
      <c r="T45" s="42"/>
      <c r="U45" s="42"/>
      <c r="V45" s="42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 t="s">
        <v>110</v>
      </c>
      <c r="AH45" s="1"/>
      <c r="AI45" s="1"/>
      <c r="AJ45" s="1"/>
      <c r="AK45" s="1"/>
    </row>
    <row r="46" spans="1:37" x14ac:dyDescent="0.35">
      <c r="G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x14ac:dyDescent="0.35">
      <c r="G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"/>
      <c r="AH47" s="1"/>
      <c r="AI47" s="1"/>
      <c r="AJ47" s="1"/>
      <c r="AK47" s="1"/>
    </row>
    <row r="48" spans="1:37" x14ac:dyDescent="0.35">
      <c r="G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7:37" x14ac:dyDescent="0.35">
      <c r="G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7:37" x14ac:dyDescent="0.35">
      <c r="G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</sheetData>
  <autoFilter ref="A3:AK36" xr:uid="{012B4FA6-4BE1-4C55-B18D-B657EDE9A864}"/>
  <mergeCells count="6">
    <mergeCell ref="AG1:AJ1"/>
    <mergeCell ref="A1:A2"/>
    <mergeCell ref="B1:H1"/>
    <mergeCell ref="J1:U1"/>
    <mergeCell ref="W1:Z1"/>
    <mergeCell ref="AB1:AE1"/>
  </mergeCells>
  <pageMargins left="0.25" right="0.25" top="0.75" bottom="0.75" header="0.3" footer="0.3"/>
  <pageSetup scale="44" orientation="landscape" r:id="rId1"/>
  <headerFooter>
    <oddHeader>&amp;R&amp;A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330D-F5BC-4E4A-8E14-E4CE648243CC}">
  <dimension ref="A1:AI4"/>
  <sheetViews>
    <sheetView workbookViewId="0">
      <selection activeCell="AH7" sqref="AH7"/>
    </sheetView>
  </sheetViews>
  <sheetFormatPr defaultRowHeight="14.5" x14ac:dyDescent="0.35"/>
  <cols>
    <col min="1" max="1" width="19.81640625" bestFit="1" customWidth="1"/>
    <col min="2" max="2" width="16.1796875" customWidth="1"/>
    <col min="3" max="3" width="15.54296875" customWidth="1"/>
    <col min="4" max="5" width="11.54296875" bestFit="1" customWidth="1"/>
    <col min="6" max="6" width="14.26953125" bestFit="1" customWidth="1"/>
    <col min="7" max="7" width="11.54296875" bestFit="1" customWidth="1"/>
    <col min="8" max="8" width="1.453125" customWidth="1"/>
    <col min="9" max="9" width="15.453125" bestFit="1" customWidth="1"/>
    <col min="10" max="15" width="15.453125" customWidth="1"/>
    <col min="16" max="18" width="11.54296875" bestFit="1" customWidth="1"/>
    <col min="19" max="19" width="14.26953125" bestFit="1" customWidth="1"/>
    <col min="20" max="20" width="2.26953125" customWidth="1"/>
    <col min="21" max="21" width="20.453125" customWidth="1"/>
    <col min="22" max="22" width="22.26953125" customWidth="1"/>
    <col min="23" max="23" width="15.81640625" customWidth="1"/>
    <col min="24" max="24" width="13.453125" customWidth="1"/>
    <col min="25" max="25" width="2.26953125" customWidth="1"/>
    <col min="26" max="26" width="20.1796875" customWidth="1"/>
    <col min="27" max="27" width="20.54296875" bestFit="1" customWidth="1"/>
    <col min="28" max="28" width="15.81640625" customWidth="1"/>
    <col min="30" max="30" width="2" customWidth="1"/>
    <col min="31" max="31" width="16.81640625" customWidth="1"/>
    <col min="32" max="32" width="21.26953125" customWidth="1"/>
    <col min="33" max="33" width="18.7265625" bestFit="1" customWidth="1"/>
    <col min="34" max="34" width="14.1796875" bestFit="1" customWidth="1"/>
    <col min="35" max="35" width="2" customWidth="1"/>
  </cols>
  <sheetData>
    <row r="1" spans="1:35" x14ac:dyDescent="0.35">
      <c r="A1" s="66" t="s">
        <v>11</v>
      </c>
      <c r="B1" s="63" t="s">
        <v>12</v>
      </c>
      <c r="C1" s="64"/>
      <c r="D1" s="64"/>
      <c r="E1" s="64"/>
      <c r="F1" s="64"/>
      <c r="G1" s="64"/>
      <c r="H1" s="13"/>
      <c r="I1" s="63" t="s">
        <v>13</v>
      </c>
      <c r="J1" s="64"/>
      <c r="K1" s="64"/>
      <c r="L1" s="64"/>
      <c r="M1" s="64"/>
      <c r="N1" s="64"/>
      <c r="O1" s="64"/>
      <c r="P1" s="64"/>
      <c r="Q1" s="64"/>
      <c r="R1" s="64"/>
      <c r="S1" s="65"/>
      <c r="T1" s="13"/>
      <c r="U1" s="63" t="s">
        <v>14</v>
      </c>
      <c r="V1" s="64"/>
      <c r="W1" s="64"/>
      <c r="X1" s="65"/>
      <c r="Y1" s="14"/>
      <c r="Z1" s="63" t="s">
        <v>15</v>
      </c>
      <c r="AA1" s="64"/>
      <c r="AB1" s="64"/>
      <c r="AC1" s="65"/>
      <c r="AD1" s="13"/>
      <c r="AE1" s="63" t="s">
        <v>16</v>
      </c>
      <c r="AF1" s="64"/>
      <c r="AG1" s="64"/>
      <c r="AH1" s="65"/>
      <c r="AI1" s="13"/>
    </row>
    <row r="2" spans="1:35" ht="40.5" x14ac:dyDescent="0.35">
      <c r="A2" s="67"/>
      <c r="B2" s="11" t="s">
        <v>17</v>
      </c>
      <c r="C2" s="9" t="s">
        <v>18</v>
      </c>
      <c r="D2" s="9" t="s">
        <v>19</v>
      </c>
      <c r="E2" s="9" t="s">
        <v>20</v>
      </c>
      <c r="F2" s="9" t="s">
        <v>21</v>
      </c>
      <c r="G2" s="9" t="s">
        <v>23</v>
      </c>
      <c r="H2" s="5"/>
      <c r="I2" s="11" t="s">
        <v>17</v>
      </c>
      <c r="J2" s="9" t="s">
        <v>18</v>
      </c>
      <c r="K2" s="9" t="s">
        <v>19</v>
      </c>
      <c r="L2" s="9" t="s">
        <v>20</v>
      </c>
      <c r="M2" s="9" t="s">
        <v>21</v>
      </c>
      <c r="N2" s="9" t="s">
        <v>23</v>
      </c>
      <c r="O2" s="10" t="s">
        <v>24</v>
      </c>
      <c r="P2" s="10" t="s">
        <v>25</v>
      </c>
      <c r="Q2" s="10" t="s">
        <v>26</v>
      </c>
      <c r="R2" s="10" t="s">
        <v>27</v>
      </c>
      <c r="S2" s="10" t="s">
        <v>28</v>
      </c>
      <c r="T2" s="5"/>
      <c r="U2" s="9" t="s">
        <v>29</v>
      </c>
      <c r="V2" s="9" t="s">
        <v>30</v>
      </c>
      <c r="W2" s="9" t="s">
        <v>31</v>
      </c>
      <c r="X2" s="9" t="s">
        <v>32</v>
      </c>
      <c r="Y2" s="5"/>
      <c r="Z2" s="9" t="s">
        <v>29</v>
      </c>
      <c r="AA2" s="9" t="s">
        <v>30</v>
      </c>
      <c r="AB2" s="9" t="s">
        <v>31</v>
      </c>
      <c r="AC2" s="9" t="s">
        <v>32</v>
      </c>
      <c r="AD2" s="5"/>
      <c r="AE2" s="8" t="s">
        <v>33</v>
      </c>
      <c r="AF2" s="8" t="s">
        <v>34</v>
      </c>
      <c r="AG2" s="8" t="s">
        <v>35</v>
      </c>
      <c r="AH2" s="8" t="s">
        <v>36</v>
      </c>
      <c r="AI2" s="5"/>
    </row>
    <row r="3" spans="1:35" x14ac:dyDescent="0.35">
      <c r="A3" s="20" t="s">
        <v>37</v>
      </c>
      <c r="B3" s="20" t="s">
        <v>38</v>
      </c>
      <c r="C3" s="20" t="s">
        <v>39</v>
      </c>
      <c r="D3" s="20" t="s">
        <v>40</v>
      </c>
      <c r="E3" s="20" t="s">
        <v>41</v>
      </c>
      <c r="F3" s="20" t="s">
        <v>42</v>
      </c>
      <c r="G3" s="20" t="s">
        <v>43</v>
      </c>
      <c r="H3" s="5"/>
      <c r="I3" s="20" t="s">
        <v>44</v>
      </c>
      <c r="J3" s="20" t="s">
        <v>45</v>
      </c>
      <c r="K3" s="20" t="s">
        <v>46</v>
      </c>
      <c r="L3" s="20" t="s">
        <v>47</v>
      </c>
      <c r="M3" s="20" t="s">
        <v>48</v>
      </c>
      <c r="N3" s="20" t="s">
        <v>49</v>
      </c>
      <c r="O3" s="20" t="s">
        <v>50</v>
      </c>
      <c r="P3" s="20" t="s">
        <v>51</v>
      </c>
      <c r="Q3" s="20" t="s">
        <v>52</v>
      </c>
      <c r="R3" s="20" t="s">
        <v>53</v>
      </c>
      <c r="S3" s="20" t="s">
        <v>54</v>
      </c>
      <c r="T3" s="5"/>
      <c r="U3" s="20" t="s">
        <v>111</v>
      </c>
      <c r="V3" s="20" t="s">
        <v>112</v>
      </c>
      <c r="W3" s="20" t="s">
        <v>113</v>
      </c>
      <c r="X3" s="20" t="s">
        <v>114</v>
      </c>
      <c r="Y3" s="5"/>
      <c r="Z3" s="20" t="s">
        <v>115</v>
      </c>
      <c r="AA3" s="20" t="s">
        <v>116</v>
      </c>
      <c r="AB3" s="20" t="s">
        <v>117</v>
      </c>
      <c r="AC3" s="20" t="s">
        <v>118</v>
      </c>
      <c r="AD3" s="5"/>
      <c r="AE3" s="20" t="s">
        <v>119</v>
      </c>
      <c r="AF3" s="20" t="s">
        <v>120</v>
      </c>
      <c r="AG3" s="20" t="s">
        <v>121</v>
      </c>
      <c r="AH3" s="20" t="s">
        <v>122</v>
      </c>
      <c r="AI3" s="5"/>
    </row>
    <row r="4" spans="1:35" x14ac:dyDescent="0.35">
      <c r="A4" s="44" t="s">
        <v>123</v>
      </c>
      <c r="B4" s="16">
        <v>50380678.136229344</v>
      </c>
      <c r="C4" s="16">
        <v>0</v>
      </c>
      <c r="D4" s="16">
        <v>0</v>
      </c>
      <c r="E4" s="16">
        <v>0</v>
      </c>
      <c r="F4" s="16">
        <v>25295881.615356144</v>
      </c>
      <c r="G4" s="16">
        <v>3680596.1014932408</v>
      </c>
      <c r="H4" s="17"/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30726922</v>
      </c>
      <c r="P4" s="16">
        <v>0</v>
      </c>
      <c r="Q4" s="16">
        <v>0</v>
      </c>
      <c r="R4" s="16">
        <v>0</v>
      </c>
      <c r="S4" s="16">
        <v>11151996.713340089</v>
      </c>
      <c r="T4" s="18"/>
      <c r="U4" s="16">
        <f>Z4+G4</f>
        <v>79357155.853078723</v>
      </c>
      <c r="V4" s="16">
        <f>AA4</f>
        <v>41878918.713340089</v>
      </c>
      <c r="W4" s="16">
        <f>U4-V4</f>
        <v>37478237.139738634</v>
      </c>
      <c r="X4" s="19">
        <f>U4/V4</f>
        <v>1.8949189303638907</v>
      </c>
      <c r="Y4" s="18"/>
      <c r="Z4" s="16">
        <f>SUM(B4:F4)</f>
        <v>75676559.751585484</v>
      </c>
      <c r="AA4" s="16">
        <f>SUM(I4:S4)-SUM(Q4:R4)</f>
        <v>41878918.713340089</v>
      </c>
      <c r="AB4" s="16">
        <f>Z4-AA4</f>
        <v>33797641.038245395</v>
      </c>
      <c r="AC4" s="19">
        <f>Z4/AA4</f>
        <v>1.8070323226248799</v>
      </c>
      <c r="AD4" s="18"/>
      <c r="AE4" s="16">
        <f>B4+C4</f>
        <v>50380678.136229344</v>
      </c>
      <c r="AF4" s="16">
        <f>I4+J4+O4+P4+Q4+R4+S4</f>
        <v>41878918.713340089</v>
      </c>
      <c r="AG4" s="16">
        <f>AE4-AF4</f>
        <v>8501759.422889255</v>
      </c>
      <c r="AH4" s="19">
        <f>AE4/AF4</f>
        <v>1.2030080929520539</v>
      </c>
      <c r="AI4" s="15"/>
    </row>
  </sheetData>
  <mergeCells count="6">
    <mergeCell ref="AE1:AH1"/>
    <mergeCell ref="A1:A2"/>
    <mergeCell ref="B1:G1"/>
    <mergeCell ref="I1:S1"/>
    <mergeCell ref="U1:X1"/>
    <mergeCell ref="Z1:AC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9ce7f2-02de-43f4-9d37-175337cba365" xsi:nil="true"/>
    <lcf76f155ced4ddcb4097134ff3c332f xmlns="56f8005f-0409-4dcf-a2a1-0e29e8990a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75E39824EAA54FA2BCE28A074FC9FF" ma:contentTypeVersion="12" ma:contentTypeDescription="Create a new document." ma:contentTypeScope="" ma:versionID="69fcfa85afc37bf85e428251a24517e9">
  <xsd:schema xmlns:xsd="http://www.w3.org/2001/XMLSchema" xmlns:xs="http://www.w3.org/2001/XMLSchema" xmlns:p="http://schemas.microsoft.com/office/2006/metadata/properties" xmlns:ns2="56f8005f-0409-4dcf-a2a1-0e29e8990aad" xmlns:ns3="929ce7f2-02de-43f4-9d37-175337cba365" targetNamespace="http://schemas.microsoft.com/office/2006/metadata/properties" ma:root="true" ma:fieldsID="891f9323168715ec0c76a86d88097065" ns2:_="" ns3:_="">
    <xsd:import namespace="56f8005f-0409-4dcf-a2a1-0e29e8990aad"/>
    <xsd:import namespace="929ce7f2-02de-43f4-9d37-175337cba36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OC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f8005f-0409-4dcf-a2a1-0e29e8990a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taxonomy="true" ma:internalName="lcf76f155ced4ddcb4097134ff3c332f" ma:taxonomyFieldName="MediaServiceImageTags" ma:displayName="Image Tags" ma:readOnly="false" ma:fieldId="{5cf76f15-5ced-4ddc-b409-7134ff3c332f}" ma:taxonomyMulti="true" ma:sspId="d6b54cd4-5916-4d25-af44-d40c6aab866a" ma:termSetId="00000000-0000-0000-0000-000000000000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ce7f2-02de-43f4-9d37-175337cba36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243ac0c-4e0e-483c-8f57-9d841f45609c}" ma:internalName="TaxCatchAll" ma:showField="CatchAllData" ma:web="929ce7f2-02de-43f4-9d37-175337cba3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73C8E7-A0E9-413D-B187-69B919EA7E03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56f8005f-0409-4dcf-a2a1-0e29e8990aad"/>
    <ds:schemaRef ds:uri="929ce7f2-02de-43f4-9d37-175337cba365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852C1D0-03C2-43F5-A1F6-6035925321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0C8349-D47D-41A9-AE23-9954D72616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f8005f-0409-4dcf-a2a1-0e29e8990aad"/>
    <ds:schemaRef ds:uri="929ce7f2-02de-43f4-9d37-175337cba3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File Info</vt:lpstr>
      <vt:lpstr>SAG Summary - EE Portfolio</vt:lpstr>
      <vt:lpstr>SAG Summary - Voltage Opt.</vt:lpstr>
      <vt:lpstr>'SAG Summary - EE Portfolio'!Print_Area</vt:lpstr>
    </vt:vector>
  </TitlesOfParts>
  <Manager/>
  <Company>Opinion Dynamics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Zachary Ross</dc:creator>
  <cp:keywords/>
  <dc:description/>
  <cp:lastModifiedBy>Tyler Sellner</cp:lastModifiedBy>
  <cp:revision/>
  <dcterms:created xsi:type="dcterms:W3CDTF">2025-05-20T12:11:24Z</dcterms:created>
  <dcterms:modified xsi:type="dcterms:W3CDTF">2026-06-04T15:21:20Z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0x0101002975E39824EAA54FA2BCE28A074FC9FF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