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Q:\7727 &amp; 7737 Ameren\_Reporting\2024\Cost-Effectiveness Report\Final (2025-06-23)\"/>
    </mc:Choice>
  </mc:AlternateContent>
  <xr:revisionPtr revIDLastSave="0" documentId="13_ncr:1_{320346B3-FCED-4929-8D6C-7F51DF0264C6}" xr6:coauthVersionLast="47" xr6:coauthVersionMax="47" xr10:uidLastSave="{00000000-0000-0000-0000-000000000000}"/>
  <bookViews>
    <workbookView xWindow="23880" yWindow="-120" windowWidth="24240" windowHeight="13740" activeTab="1" xr2:uid="{250B4888-63EF-4583-97B1-86847050F99A}"/>
  </bookViews>
  <sheets>
    <sheet name="File Info" sheetId="3" r:id="rId1"/>
    <sheet name="SAG Summary - EE Portfolio" sheetId="1" r:id="rId2"/>
    <sheet name="SAG Summary - Voltage Opt." sheetId="2" r:id="rId3"/>
  </sheets>
  <definedNames>
    <definedName name="_____sal2" hidden="1">{"SALARIOS",#N/A,FALSE,"Hoja3";"SUELDOS EMPLEADOS",#N/A,FALSE,"Hoja4";"SUELDOS EJECUTIVOS",#N/A,FALSE,"Hoja5"}</definedName>
    <definedName name="____sal2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IntlFixup" hidden="1">TRUE</definedName>
    <definedName name="__sal2" hidden="1">{"SALARIOS",#N/A,FALSE,"Hoja3";"SUELDOS EMPLEADOS",#N/A,FALSE,"Hoja4";"SUELDOS EJECUTIVOS",#N/A,FALSE,"Hoja5"}</definedName>
    <definedName name="_1_123Graph_AEND" hidden="1">#REF!</definedName>
    <definedName name="_2_123Graph_XEND" hidden="1">#REF!</definedName>
    <definedName name="_Dist_Bin" hidden="1">#REF!</definedName>
    <definedName name="_Dist_Values" hidden="1">#REF!</definedName>
    <definedName name="_Fill" hidden="1">#REF!</definedName>
    <definedName name="_xlnm._FilterDatabase" localSheetId="1" hidden="1">'SAG Summary - EE Portfolio'!$A$3:$AJ$32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sfas" hidden="1">#REF!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nnual_report2" hidden="1">{"ARPandL",#N/A,FALSE,"Report Annual";"ARCashflow",#N/A,FALSE,"Report Annual";"ARBalanceSheet",#N/A,FALSE,"Report Annual";"ARRatios",#N/A,FALSE,"Report Annual"}</definedName>
    <definedName name="AS2DocOpenMode" hidden="1">"AS2DocumentEdit"</definedName>
    <definedName name="avoided_costs_final">#REF!</definedName>
    <definedName name="avoided_costs_mod">#REF!</definedName>
    <definedName name="avoided_costs_raw">#REF!</definedName>
    <definedName name="Avoided_kW_Monetized">#REF!</definedName>
    <definedName name="Avoided_kWh_Monetized">#REF!</definedName>
    <definedName name="Avoided_Therms_Monetized">#REF!</definedName>
    <definedName name="Avoided_Therms_Monetized_Summ">#REF!</definedName>
    <definedName name="Avoided_Therms_Monetized_Wint">#REF!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omm_Line_Loss">#REF!</definedName>
    <definedName name="Comm_Peak_Loss">#REF!</definedName>
    <definedName name="DRC_Monetized">#REF!</definedName>
    <definedName name="DRCsched">#REF!</definedName>
    <definedName name="Elec_BillSavings_Monetized">#REF!</definedName>
    <definedName name="Elec_LostRevenue_Monetized">#REF!</definedName>
    <definedName name="env_ben_gas_monetized">#REF!</definedName>
    <definedName name="env_ben_monetized">#REF!</definedName>
    <definedName name="EquipType">#REF!</definedName>
    <definedName name="expenditure_elec_port_mod">#REF!</definedName>
    <definedName name="expenditure_elec_prog_mod">#REF!</definedName>
    <definedName name="expenditure_gas_port_mod">#REF!</definedName>
    <definedName name="expenditure_gas_prog_mod">#REF!</definedName>
    <definedName name="expenditures_elec_raw">#REF!</definedName>
    <definedName name="expenditures_gas_raw">#REF!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lujo2" hidden="1">{"FLUJO DE CAJA",#N/A,FALSE,"Hoja1";"ANEXOS FLUJO",#N/A,FALSE,"Hoja1"}</definedName>
    <definedName name="ganacias2" hidden="1">{"GAN.Y PERD.RESUMIDO",#N/A,FALSE,"Hoja1";"GAN.Y PERD.DETALLADO",#N/A,FALSE,"Hoja1"}</definedName>
    <definedName name="Gas_BillSavings_Monetized">#REF!</definedName>
    <definedName name="Gas_BillSavings_Monetized_Summ">#REF!</definedName>
    <definedName name="Gas_BillSavings_Monetized_Wint">#REF!</definedName>
    <definedName name="Gas_LostRevenue_Monetized">#REF!</definedName>
    <definedName name="Gas_LostRevenue_Monetized_Summ">#REF!</definedName>
    <definedName name="Gas_LostRevenue_Monetized_Wint">#REF!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Inflation_Rate">#REF!</definedName>
    <definedName name="inputs" hidden="1">{"Inputs 1","Base",FALSE,"INPUTS";"Inputs 2","Base",FALSE,"INPUTS";"Inputs 3","Base",FALSE,"INPUTS";"Inputs 4","Base",FALSE,"INPUTS";"Inputs 5","Base",FALSE,"INPUTS"}</definedName>
    <definedName name="jj" hidden="1">{"Portrait",#N/A,FALSE,"BOILER";"boiler_1",#N/A,FALSE,"BOILER";"boiler_2",#N/A,FALSE,"BOILER";"boiler_3",#N/A,FALSE,"BOILER";"results",#N/A,FALSE,"BOILER"}</definedName>
    <definedName name="kw_monetized">#REF!</definedName>
    <definedName name="kwh_monetized">#REF!</definedName>
    <definedName name="meas_ben_summ">#REF!</definedName>
    <definedName name="Meas_Benefits_Summary">#REF!</definedName>
    <definedName name="meas_cost_mod">#REF!</definedName>
    <definedName name="meas_cost_summ">#REF!</definedName>
    <definedName name="measCore">#REF!</definedName>
    <definedName name="Measure_Cost_Summary">#REF!</definedName>
    <definedName name="measureKey">#REF!</definedName>
    <definedName name="netKWhSavingsSched">#REF!</definedName>
    <definedName name="netkWhsched">#REF!</definedName>
    <definedName name="netKWSavingsSched">#REF!</definedName>
    <definedName name="netkWsched">#REF!</definedName>
    <definedName name="NetnonAICSavingsSched">#REF!</definedName>
    <definedName name="NetPropaneSavingsSched">#REF!</definedName>
    <definedName name="netThermsched">#REF!</definedName>
    <definedName name="netThermschedSummer">#REF!</definedName>
    <definedName name="netThermschedWint">#REF!</definedName>
    <definedName name="netThermsSavingsSched">#REF!</definedName>
    <definedName name="netWaterSavingsSched">#REF!</definedName>
    <definedName name="netWatersched">#REF!</definedName>
    <definedName name="nom_dis_rate_paste">#REF!</definedName>
    <definedName name="nominal_discount_rate">#REF!</definedName>
    <definedName name="Nominal_Participant_Rate">#REF!</definedName>
    <definedName name="Nominal_Societal_Rate">#REF!</definedName>
    <definedName name="Nominal_WACC_Rate">#REF!</definedName>
    <definedName name="nonAICtherms_monetized">#REF!</definedName>
    <definedName name="_xlnm.Print_Area" localSheetId="1">'SAG Summary - EE Portfolio'!$A$1:$AK$32</definedName>
    <definedName name="print99" hidden="1">{#N/A,#N/A,FALSE,"Resid CPRIV";#N/A,#N/A,FALSE,"Comer_CPRIVKsum";#N/A,#N/A,FALSE,"General (2)";#N/A,#N/A,FALSE,"Oficial";#N/A,#N/A,FALSE,"Resumen";#N/A,#N/A,FALSE,"Escenarios"}</definedName>
    <definedName name="Program_BCRs">#REF!</definedName>
    <definedName name="Program_Expenditures">#REF!</definedName>
    <definedName name="Program_NTGRs">#REF!</definedName>
    <definedName name="program_year">#REF!</definedName>
    <definedName name="propane_monetized">#REF!</definedName>
    <definedName name="Propaneadder_monetized">#REF!</definedName>
    <definedName name="Qty">#REF!</definedName>
    <definedName name="report99" hidden="1">{"Rep 1",#N/A,FALSE,"Reports";"Rep 2",#N/A,FALSE,"Reports";"Rep 3",#N/A,FALSE,"Reports";"Rep 4",#N/A,FALSE,"Reports"}</definedName>
    <definedName name="Res_Line_Loss">#REF!</definedName>
    <definedName name="Res_Peak_Loss">#REF!</definedName>
    <definedName name="sadf4" hidden="1">{"Portrait",#N/A,FALSE,"BOILER";"boiler_1",#N/A,FALSE,"BOILER";"boiler_2",#N/A,FALSE,"BOILER";"boiler_3",#N/A,FALSE,"BOILER";"results",#N/A,FALSE,"BOILER"}</definedName>
    <definedName name="savTest">#REF!</definedName>
    <definedName name="soc_kWhNEIs_monetized">#REF!</definedName>
    <definedName name="Soc_propNEIs_monetized">#REF!</definedName>
    <definedName name="soc_thermNEIs_bus_monetized">#REF!</definedName>
    <definedName name="soc_thermNEIs_res_monetized">#REF!</definedName>
    <definedName name="Societal_NEI_Monetized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TD_monetized">#REF!</definedName>
    <definedName name="TextRefCopyRangeCount" hidden="1">5</definedName>
    <definedName name="therm_monetized">#REF!</definedName>
    <definedName name="total_prog_costs">#REF!</definedName>
    <definedName name="TRM">#REF!</definedName>
    <definedName name="w" hidden="1">{"Rep 1",#N/A,FALSE,"Reports";"Rep 2",#N/A,FALSE,"Reports";"Rep 3",#N/A,FALSE,"Reports";"Rep 4",#N/A,FALSE,"Reports"}</definedName>
    <definedName name="water_monetized">#REF!</definedName>
    <definedName name="Water_Savings_Monetized">#REF!</definedName>
    <definedName name="wkjetghjkwrh" hidden="1">{"Portrait",#N/A,FALSE,"BOILER";"boiler_1",#N/A,FALSE,"BOILER";"boiler_2",#N/A,FALSE,"BOILER";"boiler_3",#N/A,FALSE,"BOILER";"results",#N/A,FALSE,"BOILER"}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hidden="1">{#N/A,#N/A,FALSE,"Aging Summary";#N/A,#N/A,FALSE,"Ratio Analysis";#N/A,#N/A,FALSE,"Test 120 Day Accts";#N/A,#N/A,FALSE,"Tickmarks"}</definedName>
    <definedName name="wrn.Annual._.Report." hidden="1">{"ARPandL",#N/A,FALSE,"Report Annual";"ARCashflow",#N/A,FALSE,"Report Annual";"ARBalanceSheet",#N/A,FALSE,"Report Annual";"ARRatios",#N/A,FALSE,"Report Annual"}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hidden="1">{"FLUJO DE CAJA",#N/A,FALSE,"Hoja1";"ANEXOS FLUJO",#N/A,FALSE,"Hoja1"}</definedName>
    <definedName name="wrn.GANANCIAS._.Y._.PERDIDAS." hidden="1">{"GAN.Y PERD.RESUMIDO",#N/A,FALSE,"Hoja1";"GAN.Y PERD.DETALLADO",#N/A,FALSE,"Hoja1"}</definedName>
    <definedName name="wrn.Hardcopy." hidden="1">{"Portrait",#N/A,FALSE,"BOILER";"boiler_1",#N/A,FALSE,"BOILER";"boiler_2",#N/A,FALSE,"BOILER";"boiler_3",#N/A,FALSE,"BOILER";"results",#N/A,FALSE,"BOILER"}</definedName>
    <definedName name="wrn.Inputs." hidden="1">{"Inputs 1","Base",FALSE,"INPUTS";"Inputs 2","Base",FALSE,"INPUTS";"Inputs 3","Base",FALSE,"INPUTS";"Inputs 4","Base",FALSE,"INPUTS";"Inputs 5","Base",FALSE,"INPUTS"}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hidden="1">{"Rep 1",#N/A,FALSE,"Reports";"Rep 2",#N/A,FALSE,"Reports";"Rep 3",#N/A,FALSE,"Reports";"Rep 4",#N/A,FALSE,"Reports"}</definedName>
    <definedName name="wrn.SALARIOS._.PRESUPUESTO." hidden="1">{"SALARIOS",#N/A,FALSE,"Hoja3";"SUELDOS EMPLEADOS",#N/A,FALSE,"Hoja4";"SUELDOS EJECUTIVOS",#N/A,FALSE,"Hoja5"}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Row" hidden="1">#REF!</definedName>
    <definedName name="XRefCopy5" hidden="1">#REF!</definedName>
    <definedName name="XRefCopy5Row" hidden="1">#REF!</definedName>
    <definedName name="XRefCopyRangeCount" hidden="1">5</definedName>
    <definedName name="XRefPaste1" hidden="1">#REF!</definedName>
    <definedName name="XRefPaste1Row" hidden="1">#REF!</definedName>
    <definedName name="XRefPasteRangeCount" hidden="1">1</definedName>
    <definedName name="xx" hidden="1">{#N/A,#N/A,FALSE,"Aging Summary";#N/A,#N/A,FALSE,"Ratio Analysis";#N/A,#N/A,FALSE,"Test 120 Day Accts";#N/A,#N/A,FALSE,"Tickmarks"}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ear">#REF!</definedName>
    <definedName name="z" hidden="1">{"Portrait",#N/A,FALSE,"BOILER";"boiler_1",#N/A,FALSE,"BOILER";"boiler_2",#N/A,FALSE,"BOILER";"boiler_3",#N/A,FALSE,"BOILER";"results",#N/A,FALSE,"BOILER"}</definedName>
    <definedName name="Z_0B113C9C_A1A9_11D3_A311_0008C739212F_.wvu.PrintArea" hidden="1">#REF!</definedName>
    <definedName name="Z_1C03E4A5_0E99_11D5_896C_00008646D7BA_.wvu.Rows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4" i="1"/>
  <c r="G36" i="1"/>
  <c r="G42" i="1" l="1"/>
  <c r="G43" i="1" s="1"/>
  <c r="AB5" i="1"/>
  <c r="AB6" i="1"/>
  <c r="AB7" i="1"/>
  <c r="AB8" i="1"/>
  <c r="AB9" i="1"/>
  <c r="AB10" i="1"/>
  <c r="AB11" i="1"/>
  <c r="AB12" i="1"/>
  <c r="AB13" i="1"/>
  <c r="AB14" i="1"/>
  <c r="AD14" i="1" s="1"/>
  <c r="AB15" i="1"/>
  <c r="AD15" i="1" s="1"/>
  <c r="AB16" i="1"/>
  <c r="AE16" i="1" s="1"/>
  <c r="AB17" i="1"/>
  <c r="AB18" i="1"/>
  <c r="AB19" i="1"/>
  <c r="AB20" i="1"/>
  <c r="AB21" i="1"/>
  <c r="AB22" i="1"/>
  <c r="AD22" i="1" s="1"/>
  <c r="AB23" i="1"/>
  <c r="AB4" i="1"/>
  <c r="W6" i="1"/>
  <c r="Z6" i="1" s="1"/>
  <c r="W7" i="1"/>
  <c r="W8" i="1"/>
  <c r="W9" i="1"/>
  <c r="W10" i="1"/>
  <c r="W11" i="1"/>
  <c r="W12" i="1"/>
  <c r="W13" i="1"/>
  <c r="W14" i="1"/>
  <c r="W15" i="1"/>
  <c r="Y15" i="1" s="1"/>
  <c r="W16" i="1"/>
  <c r="W17" i="1"/>
  <c r="W18" i="1"/>
  <c r="Y18" i="1" s="1"/>
  <c r="W19" i="1"/>
  <c r="W20" i="1"/>
  <c r="W21" i="1"/>
  <c r="W22" i="1"/>
  <c r="W23" i="1"/>
  <c r="N42" i="1"/>
  <c r="N43" i="1" s="1"/>
  <c r="K36" i="1"/>
  <c r="L36" i="1"/>
  <c r="L42" i="1" s="1"/>
  <c r="L43" i="1" s="1"/>
  <c r="M36" i="1"/>
  <c r="M42" i="1" s="1"/>
  <c r="M43" i="1" s="1"/>
  <c r="N36" i="1"/>
  <c r="P36" i="1"/>
  <c r="Q36" i="1"/>
  <c r="R36" i="1"/>
  <c r="S36" i="1"/>
  <c r="T36" i="1"/>
  <c r="U36" i="1"/>
  <c r="U42" i="1" s="1"/>
  <c r="U43" i="1" s="1"/>
  <c r="K24" i="1"/>
  <c r="L24" i="1"/>
  <c r="M24" i="1"/>
  <c r="N24" i="1"/>
  <c r="P24" i="1"/>
  <c r="Q24" i="1"/>
  <c r="R24" i="1"/>
  <c r="S24" i="1"/>
  <c r="T24" i="1"/>
  <c r="U24" i="1"/>
  <c r="K4" i="1"/>
  <c r="K42" i="1" s="1"/>
  <c r="K43" i="1" s="1"/>
  <c r="L4" i="1"/>
  <c r="M4" i="1"/>
  <c r="N4" i="1"/>
  <c r="P4" i="1"/>
  <c r="P42" i="1" s="1"/>
  <c r="P43" i="1" s="1"/>
  <c r="Q4" i="1"/>
  <c r="Q42" i="1" s="1"/>
  <c r="Q43" i="1" s="1"/>
  <c r="R4" i="1"/>
  <c r="R42" i="1" s="1"/>
  <c r="R43" i="1" s="1"/>
  <c r="S4" i="1"/>
  <c r="S42" i="1" s="1"/>
  <c r="S43" i="1" s="1"/>
  <c r="T4" i="1"/>
  <c r="T42" i="1" s="1"/>
  <c r="T43" i="1" s="1"/>
  <c r="U4" i="1"/>
  <c r="D42" i="1"/>
  <c r="D43" i="1" s="1"/>
  <c r="E42" i="1"/>
  <c r="E43" i="1" s="1"/>
  <c r="F42" i="1"/>
  <c r="F43" i="1" s="1"/>
  <c r="C24" i="1"/>
  <c r="D24" i="1"/>
  <c r="E24" i="1"/>
  <c r="F24" i="1"/>
  <c r="H24" i="1"/>
  <c r="C4" i="1"/>
  <c r="C42" i="1" s="1"/>
  <c r="C43" i="1" s="1"/>
  <c r="D4" i="1"/>
  <c r="E4" i="1"/>
  <c r="F4" i="1"/>
  <c r="H4" i="1"/>
  <c r="H42" i="1" s="1"/>
  <c r="H43" i="1" s="1"/>
  <c r="Z4" i="2"/>
  <c r="U4" i="2" s="1"/>
  <c r="AA4" i="2"/>
  <c r="V4" i="2" s="1"/>
  <c r="AC4" i="2"/>
  <c r="AE4" i="2"/>
  <c r="AF4" i="2"/>
  <c r="B4" i="1"/>
  <c r="J4" i="1"/>
  <c r="W5" i="1"/>
  <c r="Y5" i="1" s="1"/>
  <c r="X5" i="1"/>
  <c r="AC5" i="1"/>
  <c r="AH5" i="1"/>
  <c r="AI5" i="1" s="1"/>
  <c r="X6" i="1"/>
  <c r="AC6" i="1"/>
  <c r="AH6" i="1"/>
  <c r="AJ6" i="1" s="1"/>
  <c r="X7" i="1"/>
  <c r="Z7" i="1" s="1"/>
  <c r="AC7" i="1"/>
  <c r="AH7" i="1"/>
  <c r="AJ7" i="1" s="1"/>
  <c r="AI7" i="1"/>
  <c r="X8" i="1"/>
  <c r="AC8" i="1"/>
  <c r="AH8" i="1"/>
  <c r="AI8" i="1" s="1"/>
  <c r="AJ8" i="1"/>
  <c r="X9" i="1"/>
  <c r="AC9" i="1"/>
  <c r="AH9" i="1"/>
  <c r="AI9" i="1" s="1"/>
  <c r="X10" i="1"/>
  <c r="AC10" i="1"/>
  <c r="AH10" i="1"/>
  <c r="AJ10" i="1" s="1"/>
  <c r="X11" i="1"/>
  <c r="AC11" i="1"/>
  <c r="AH11" i="1"/>
  <c r="AI11" i="1"/>
  <c r="AJ11" i="1"/>
  <c r="X12" i="1"/>
  <c r="AC12" i="1"/>
  <c r="AD12" i="1" s="1"/>
  <c r="AH12" i="1"/>
  <c r="AI12" i="1" s="1"/>
  <c r="X13" i="1"/>
  <c r="AC13" i="1"/>
  <c r="AH13" i="1"/>
  <c r="AJ13" i="1" s="1"/>
  <c r="AI13" i="1"/>
  <c r="X14" i="1"/>
  <c r="AC14" i="1"/>
  <c r="AH14" i="1"/>
  <c r="AI14" i="1"/>
  <c r="AJ14" i="1"/>
  <c r="X15" i="1"/>
  <c r="AC15" i="1"/>
  <c r="AH15" i="1"/>
  <c r="AJ15" i="1" s="1"/>
  <c r="X16" i="1"/>
  <c r="AC16" i="1"/>
  <c r="AH16" i="1"/>
  <c r="AJ16" i="1" s="1"/>
  <c r="AI16" i="1"/>
  <c r="X17" i="1"/>
  <c r="AC17" i="1"/>
  <c r="AE17" i="1" s="1"/>
  <c r="AH17" i="1"/>
  <c r="AI17" i="1" s="1"/>
  <c r="X18" i="1"/>
  <c r="AC18" i="1"/>
  <c r="AH18" i="1"/>
  <c r="AJ18" i="1" s="1"/>
  <c r="AI18" i="1"/>
  <c r="X19" i="1"/>
  <c r="AC19" i="1"/>
  <c r="AH19" i="1"/>
  <c r="AI19" i="1" s="1"/>
  <c r="X20" i="1"/>
  <c r="AC20" i="1"/>
  <c r="AH20" i="1"/>
  <c r="AI20" i="1" s="1"/>
  <c r="AJ20" i="1"/>
  <c r="X21" i="1"/>
  <c r="AC21" i="1"/>
  <c r="AH21" i="1"/>
  <c r="AI21" i="1" s="1"/>
  <c r="X22" i="1"/>
  <c r="AC22" i="1"/>
  <c r="AH22" i="1"/>
  <c r="AJ22" i="1" s="1"/>
  <c r="AI22" i="1"/>
  <c r="X23" i="1"/>
  <c r="AC23" i="1"/>
  <c r="AH23" i="1"/>
  <c r="AI23" i="1" s="1"/>
  <c r="B24" i="1"/>
  <c r="J24" i="1"/>
  <c r="W25" i="1"/>
  <c r="Y25" i="1" s="1"/>
  <c r="X25" i="1"/>
  <c r="AB25" i="1"/>
  <c r="AE25" i="1" s="1"/>
  <c r="AC25" i="1"/>
  <c r="AH25" i="1"/>
  <c r="AJ25" i="1" s="1"/>
  <c r="AI25" i="1"/>
  <c r="W26" i="1"/>
  <c r="X26" i="1"/>
  <c r="AB26" i="1"/>
  <c r="AC26" i="1"/>
  <c r="AD26" i="1"/>
  <c r="AH26" i="1"/>
  <c r="AI26" i="1" s="1"/>
  <c r="W27" i="1"/>
  <c r="X27" i="1"/>
  <c r="AB27" i="1"/>
  <c r="AC27" i="1"/>
  <c r="AH27" i="1"/>
  <c r="AJ27" i="1" s="1"/>
  <c r="W28" i="1"/>
  <c r="X28" i="1"/>
  <c r="AB28" i="1"/>
  <c r="AC28" i="1"/>
  <c r="AH28" i="1"/>
  <c r="AI28" i="1" s="1"/>
  <c r="W29" i="1"/>
  <c r="Y29" i="1" s="1"/>
  <c r="X29" i="1"/>
  <c r="AB29" i="1"/>
  <c r="AD29" i="1" s="1"/>
  <c r="AC29" i="1"/>
  <c r="AH29" i="1"/>
  <c r="AJ29" i="1" s="1"/>
  <c r="AI29" i="1"/>
  <c r="W30" i="1"/>
  <c r="X30" i="1"/>
  <c r="AB30" i="1"/>
  <c r="AE30" i="1" s="1"/>
  <c r="AC30" i="1"/>
  <c r="AH30" i="1"/>
  <c r="AI30" i="1" s="1"/>
  <c r="AJ30" i="1"/>
  <c r="W31" i="1"/>
  <c r="X31" i="1"/>
  <c r="AB31" i="1"/>
  <c r="AC31" i="1"/>
  <c r="AH31" i="1"/>
  <c r="AI31" i="1" s="1"/>
  <c r="W32" i="1"/>
  <c r="X32" i="1"/>
  <c r="Y32" i="1" s="1"/>
  <c r="AB32" i="1"/>
  <c r="AC32" i="1"/>
  <c r="AH32" i="1"/>
  <c r="AJ32" i="1" s="1"/>
  <c r="AI32" i="1"/>
  <c r="W33" i="1"/>
  <c r="Z33" i="1" s="1"/>
  <c r="X33" i="1"/>
  <c r="AB33" i="1"/>
  <c r="AC33" i="1"/>
  <c r="AE33" i="1" s="1"/>
  <c r="AD33" i="1"/>
  <c r="AH33" i="1"/>
  <c r="AI33" i="1" s="1"/>
  <c r="W34" i="1"/>
  <c r="Y34" i="1" s="1"/>
  <c r="X34" i="1"/>
  <c r="AB34" i="1"/>
  <c r="AC34" i="1"/>
  <c r="AH34" i="1"/>
  <c r="AI34" i="1" s="1"/>
  <c r="W35" i="1"/>
  <c r="X35" i="1"/>
  <c r="AB35" i="1"/>
  <c r="AC35" i="1"/>
  <c r="AH35" i="1"/>
  <c r="AI35" i="1" s="1"/>
  <c r="B36" i="1"/>
  <c r="W36" i="1" s="1"/>
  <c r="C36" i="1"/>
  <c r="D36" i="1"/>
  <c r="E36" i="1"/>
  <c r="F36" i="1"/>
  <c r="H36" i="1"/>
  <c r="J36" i="1"/>
  <c r="W37" i="1"/>
  <c r="X37" i="1"/>
  <c r="AB37" i="1"/>
  <c r="AC37" i="1"/>
  <c r="AG37" i="1"/>
  <c r="AH37" i="1"/>
  <c r="W38" i="1"/>
  <c r="X38" i="1"/>
  <c r="AB38" i="1"/>
  <c r="AC38" i="1"/>
  <c r="AD38" i="1"/>
  <c r="AG38" i="1"/>
  <c r="AI38" i="1" s="1"/>
  <c r="AH38" i="1"/>
  <c r="W39" i="1"/>
  <c r="X39" i="1"/>
  <c r="AB39" i="1"/>
  <c r="AC39" i="1"/>
  <c r="AD39" i="1" s="1"/>
  <c r="AG39" i="1"/>
  <c r="AH39" i="1"/>
  <c r="AI39" i="1" s="1"/>
  <c r="W40" i="1"/>
  <c r="X40" i="1"/>
  <c r="AB40" i="1"/>
  <c r="AD40" i="1" s="1"/>
  <c r="AC40" i="1"/>
  <c r="AG40" i="1"/>
  <c r="AH40" i="1"/>
  <c r="AI40" i="1"/>
  <c r="W41" i="1"/>
  <c r="X41" i="1"/>
  <c r="AB41" i="1"/>
  <c r="AC41" i="1"/>
  <c r="AG41" i="1"/>
  <c r="AH41" i="1"/>
  <c r="Y12" i="1" l="1"/>
  <c r="AE26" i="1"/>
  <c r="Y37" i="1"/>
  <c r="Z35" i="1"/>
  <c r="Y26" i="1"/>
  <c r="J42" i="1"/>
  <c r="AJ34" i="1"/>
  <c r="AI27" i="1"/>
  <c r="AD23" i="1"/>
  <c r="AE11" i="1"/>
  <c r="AD10" i="1"/>
  <c r="Y23" i="1"/>
  <c r="Y11" i="1"/>
  <c r="Z29" i="1"/>
  <c r="Y10" i="1"/>
  <c r="Y9" i="1"/>
  <c r="AD19" i="1"/>
  <c r="AD7" i="1"/>
  <c r="Z34" i="1"/>
  <c r="Y38" i="1"/>
  <c r="AB36" i="1"/>
  <c r="AD30" i="1"/>
  <c r="AJ28" i="1"/>
  <c r="AI15" i="1"/>
  <c r="AI6" i="1"/>
  <c r="AB24" i="1"/>
  <c r="Y20" i="1"/>
  <c r="Z8" i="1"/>
  <c r="AD18" i="1"/>
  <c r="Z19" i="1"/>
  <c r="Y7" i="1"/>
  <c r="Y41" i="1"/>
  <c r="AD28" i="1"/>
  <c r="AE12" i="1"/>
  <c r="AD16" i="1"/>
  <c r="AE15" i="1"/>
  <c r="AE19" i="1"/>
  <c r="Z11" i="1"/>
  <c r="Z22" i="1"/>
  <c r="Z9" i="1"/>
  <c r="Z15" i="1"/>
  <c r="Z20" i="1"/>
  <c r="W4" i="1"/>
  <c r="AD27" i="1"/>
  <c r="Y21" i="1"/>
  <c r="AD13" i="1"/>
  <c r="AI41" i="1"/>
  <c r="Y40" i="1"/>
  <c r="Z32" i="1"/>
  <c r="AH24" i="1"/>
  <c r="Z18" i="1"/>
  <c r="Y13" i="1"/>
  <c r="AD8" i="1"/>
  <c r="AE5" i="1"/>
  <c r="AD34" i="1"/>
  <c r="Y33" i="1"/>
  <c r="AD31" i="1"/>
  <c r="AE28" i="1"/>
  <c r="AD25" i="1"/>
  <c r="AC24" i="1"/>
  <c r="AD24" i="1" s="1"/>
  <c r="AE22" i="1"/>
  <c r="AD20" i="1"/>
  <c r="Y19" i="1"/>
  <c r="AE14" i="1"/>
  <c r="AD11" i="1"/>
  <c r="Y8" i="1"/>
  <c r="AH36" i="1"/>
  <c r="AI36" i="1" s="1"/>
  <c r="Y31" i="1"/>
  <c r="Y22" i="1"/>
  <c r="Y17" i="1"/>
  <c r="AI37" i="1"/>
  <c r="Y28" i="1"/>
  <c r="AD9" i="1"/>
  <c r="Z26" i="1"/>
  <c r="Z12" i="1"/>
  <c r="Y39" i="1"/>
  <c r="AD37" i="1"/>
  <c r="AD35" i="1"/>
  <c r="AJ33" i="1"/>
  <c r="AE29" i="1"/>
  <c r="Z25" i="1"/>
  <c r="X24" i="1"/>
  <c r="AD21" i="1"/>
  <c r="AJ19" i="1"/>
  <c r="Y6" i="1"/>
  <c r="AG36" i="1"/>
  <c r="AG42" i="1" s="1"/>
  <c r="AG43" i="1" s="1"/>
  <c r="Y14" i="1"/>
  <c r="AD6" i="1"/>
  <c r="AD32" i="1"/>
  <c r="AE27" i="1"/>
  <c r="Z21" i="1"/>
  <c r="AE13" i="1"/>
  <c r="AI10" i="1"/>
  <c r="AH4" i="1"/>
  <c r="AD4" i="1"/>
  <c r="AE7" i="1"/>
  <c r="Y35" i="1"/>
  <c r="W24" i="1"/>
  <c r="Z27" i="1"/>
  <c r="AE10" i="1"/>
  <c r="AD41" i="1"/>
  <c r="Y30" i="1"/>
  <c r="Y16" i="1"/>
  <c r="Z10" i="1"/>
  <c r="X4" i="1"/>
  <c r="AG4" i="2"/>
  <c r="J43" i="1"/>
  <c r="AI24" i="1"/>
  <c r="AJ24" i="1"/>
  <c r="W4" i="2"/>
  <c r="X4" i="2"/>
  <c r="AH4" i="2"/>
  <c r="X36" i="1"/>
  <c r="Y36" i="1" s="1"/>
  <c r="AE31" i="1"/>
  <c r="Z13" i="1"/>
  <c r="B42" i="1"/>
  <c r="AJ35" i="1"/>
  <c r="AE32" i="1"/>
  <c r="Z28" i="1"/>
  <c r="Y27" i="1"/>
  <c r="AJ21" i="1"/>
  <c r="AE18" i="1"/>
  <c r="AD17" i="1"/>
  <c r="Z14" i="1"/>
  <c r="AJ9" i="1"/>
  <c r="AE6" i="1"/>
  <c r="AD5" i="1"/>
  <c r="AC4" i="1"/>
  <c r="AE4" i="1" s="1"/>
  <c r="AC36" i="1"/>
  <c r="AD36" i="1" s="1"/>
  <c r="AE34" i="1"/>
  <c r="Z30" i="1"/>
  <c r="AE20" i="1"/>
  <c r="Z16" i="1"/>
  <c r="AE8" i="1"/>
  <c r="AE35" i="1"/>
  <c r="Z31" i="1"/>
  <c r="AJ26" i="1"/>
  <c r="AE21" i="1"/>
  <c r="Z17" i="1"/>
  <c r="AJ12" i="1"/>
  <c r="AE9" i="1"/>
  <c r="Z5" i="1"/>
  <c r="AB4" i="2"/>
  <c r="AJ31" i="1"/>
  <c r="AJ17" i="1"/>
  <c r="AJ5" i="1"/>
  <c r="AI4" i="1" l="1"/>
  <c r="AI42" i="1" s="1"/>
  <c r="AH42" i="1"/>
  <c r="X42" i="1"/>
  <c r="X43" i="1" s="1"/>
  <c r="Z24" i="1"/>
  <c r="Z4" i="1"/>
  <c r="AJ4" i="1"/>
  <c r="Y24" i="1"/>
  <c r="Y4" i="1"/>
  <c r="AE24" i="1"/>
  <c r="AC42" i="1"/>
  <c r="AC43" i="1" s="1"/>
  <c r="B43" i="1"/>
  <c r="AB42" i="1"/>
  <c r="W42" i="1"/>
  <c r="AD42" i="1" l="1"/>
  <c r="AD43" i="1" s="1"/>
  <c r="AB43" i="1"/>
  <c r="AE43" i="1" s="1"/>
  <c r="AE42" i="1"/>
  <c r="AJ42" i="1"/>
  <c r="AH43" i="1"/>
  <c r="AJ43" i="1" s="1"/>
  <c r="AI43" i="1"/>
  <c r="Y42" i="1"/>
  <c r="Y43" i="1" s="1"/>
  <c r="Z42" i="1"/>
  <c r="W43" i="1"/>
  <c r="Z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Sellner</author>
  </authors>
  <commentList>
    <comment ref="AF4" authorId="0" shapeId="0" xr:uid="{E1915282-6B31-4DEF-8FBF-6C59A1A92FC6}">
      <text>
        <r>
          <rPr>
            <b/>
            <sz val="9"/>
            <color indexed="81"/>
            <rFont val="Tahoma"/>
            <family val="2"/>
          </rPr>
          <t>Tyler Sellner:</t>
        </r>
        <r>
          <rPr>
            <sz val="9"/>
            <color indexed="81"/>
            <rFont val="Tahoma"/>
            <family val="2"/>
          </rPr>
          <t xml:space="preserve">
For VO, we include incremental costs in the PAC test since these costs are borne by the utility.</t>
        </r>
      </text>
    </comment>
  </commentList>
</comments>
</file>

<file path=xl/sharedStrings.xml><?xml version="1.0" encoding="utf-8"?>
<sst xmlns="http://schemas.openxmlformats.org/spreadsheetml/2006/main" count="213" uniqueCount="130">
  <si>
    <t>AIC 2024 Portfolio</t>
  </si>
  <si>
    <t>N/A</t>
  </si>
  <si>
    <t>Program Implementation</t>
  </si>
  <si>
    <t>Administrative Expenses</t>
  </si>
  <si>
    <t>Marketing and Education</t>
  </si>
  <si>
    <t>EM&amp;V</t>
  </si>
  <si>
    <t>Market Development Initiative</t>
  </si>
  <si>
    <t>Portfolio Costs</t>
  </si>
  <si>
    <t>Market Transformation</t>
  </si>
  <si>
    <t>Streetlighting - Utility Owned</t>
  </si>
  <si>
    <t>Streetlighting - Municipality Owned</t>
  </si>
  <si>
    <t>Retro-Commissioning</t>
  </si>
  <si>
    <t>Small Business - Energy Performance</t>
  </si>
  <si>
    <t>Small Business - Direct Install</t>
  </si>
  <si>
    <t>Midstream - Food Service</t>
  </si>
  <si>
    <t>Midstream - HVAC</t>
  </si>
  <si>
    <t>Midstream - Lighting</t>
  </si>
  <si>
    <t>Custom</t>
  </si>
  <si>
    <t>Standard</t>
  </si>
  <si>
    <t>Business Program</t>
  </si>
  <si>
    <t>Non-Participant Spillover</t>
  </si>
  <si>
    <t>DDEP - High School Innovation</t>
  </si>
  <si>
    <t>DDEP - School Kits</t>
  </si>
  <si>
    <t>Single Family - Midstream HVAC</t>
  </si>
  <si>
    <t>Single Family - Home Efficiency</t>
  </si>
  <si>
    <t>Multifamily - Market Rate</t>
  </si>
  <si>
    <t>Public Housing</t>
  </si>
  <si>
    <t>Income Qualified - Electrification</t>
  </si>
  <si>
    <t>Income Qualified - Manufactured Homes</t>
  </si>
  <si>
    <t>Income Qualified - New Construction</t>
  </si>
  <si>
    <t>Income Qualified - Healthier Homes</t>
  </si>
  <si>
    <t>Income Qualified - Community Kits</t>
  </si>
  <si>
    <t>Income Qualified - Smart Savers</t>
  </si>
  <si>
    <t>Income Qualified - Multifamily</t>
  </si>
  <si>
    <t>Income Qualified - CAA</t>
  </si>
  <si>
    <t>Income Qualified - Single Family</t>
  </si>
  <si>
    <t>Income Qualified - Retail Products</t>
  </si>
  <si>
    <t>Retail Products</t>
  </si>
  <si>
    <t>Residential Program</t>
  </si>
  <si>
    <t>(ad)=(aa/ab)</t>
  </si>
  <si>
    <t>(ac)=(aa-ab)</t>
  </si>
  <si>
    <t>(ab) =(i+j+n+o+p+q)</t>
  </si>
  <si>
    <t>(aa) =(b+c)</t>
  </si>
  <si>
    <t>(z)=(w/x)</t>
  </si>
  <si>
    <t>(y)=(w-x)</t>
  </si>
  <si>
    <t>(x) =(h+i+j+k+l+n+o+r)</t>
  </si>
  <si>
    <t>(w) =(b+c+d+e+f)</t>
  </si>
  <si>
    <t>(v)=(s/t)</t>
  </si>
  <si>
    <t>(u)=(s-t)</t>
  </si>
  <si>
    <t>(t) =(h+i+j+k+l+m+n+o+r)</t>
  </si>
  <si>
    <t>(s) =(b+c+d+e+f+g)</t>
  </si>
  <si>
    <t>(r)</t>
  </si>
  <si>
    <t>(q)</t>
  </si>
  <si>
    <t>(p)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</si>
  <si>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</si>
  <si>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</si>
  <si>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</si>
  <si>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</si>
  <si>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</si>
  <si>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</si>
  <si>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</si>
  <si>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</si>
  <si>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</si>
  <si>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</si>
  <si>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</si>
  <si>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</si>
  <si>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</si>
  <si>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</si>
  <si>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</si>
  <si>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PAC Test Ratio</t>
  </si>
  <si>
    <t>PAC Test Net Benefits</t>
  </si>
  <si>
    <t>PAC Costs</t>
  </si>
  <si>
    <t>PAC Benefits</t>
  </si>
  <si>
    <t>IL TRC Test Ratio</t>
  </si>
  <si>
    <t>IL TRC Test Net Benefits</t>
  </si>
  <si>
    <t>IL TRC Costs</t>
  </si>
  <si>
    <t>IL TRC Benefits</t>
  </si>
  <si>
    <t>Incremental Costs (Net)</t>
  </si>
  <si>
    <t>Incentive Costs (Gas)</t>
  </si>
  <si>
    <t>Incentive Costs (Electric)</t>
  </si>
  <si>
    <t>Non-Incentive Costs (Gas)</t>
  </si>
  <si>
    <t>Non-Incentive Costs (Electric)</t>
  </si>
  <si>
    <t>Societal NEI Cost Changes</t>
  </si>
  <si>
    <t>GHG Reduction Cost Changes</t>
  </si>
  <si>
    <t>Avoided O&amp;M Cost Changes</t>
  </si>
  <si>
    <t>Water Cost Changes</t>
  </si>
  <si>
    <t>Other Fuel Cost Changes</t>
  </si>
  <si>
    <t>Electric Cost Changes</t>
  </si>
  <si>
    <r>
      <t xml:space="preserve">Utility Cost Test/Program Administrator Cost (PAC) Test, </t>
    </r>
    <r>
      <rPr>
        <i/>
        <sz val="10"/>
        <color theme="0"/>
        <rFont val="Franklin Gothic Medium"/>
        <family val="2"/>
      </rPr>
      <t>Dual Fuel Utility</t>
    </r>
  </si>
  <si>
    <t>IL Total Resource Cost (TRC) Test - without Societal NEIs</t>
  </si>
  <si>
    <t>IL Total Resource Cost (TRC) Test - with Societal NEIs</t>
  </si>
  <si>
    <t>Costs</t>
  </si>
  <si>
    <t>Benefits</t>
  </si>
  <si>
    <t>Program</t>
  </si>
  <si>
    <t>Voltage Optimization</t>
  </si>
  <si>
    <t>File Information</t>
  </si>
  <si>
    <t>File Name</t>
  </si>
  <si>
    <t>Author</t>
  </si>
  <si>
    <t>Purpose</t>
  </si>
  <si>
    <t>Last Updated</t>
  </si>
  <si>
    <t>Sheet Name</t>
  </si>
  <si>
    <t>Description</t>
  </si>
  <si>
    <t>File Info</t>
  </si>
  <si>
    <t>This tab</t>
  </si>
  <si>
    <t>SAG Summary - EE Portfolio</t>
  </si>
  <si>
    <t>SAG Summary - Voltage Opt.</t>
  </si>
  <si>
    <t>2024 Ameren Illinois Company (AIC) Portfolio Cost-Effectiveness Results</t>
  </si>
  <si>
    <t>Tyler Sellner, Sophie Hargrave, and Zach Ross (Opinion Dynamics)</t>
  </si>
  <si>
    <t>Cost-effectiveness results (including Illinois TRC and PAC/UCT) for the 2024 AIC portfolio</t>
  </si>
  <si>
    <t>SAG Summary spreadsheet for 2024 AIC EE Portfolio cost-effectiveness results (does not include Voltage Optimization)</t>
  </si>
  <si>
    <t>SAG Summary spreadsheet for 2024 AIC Voltage Optimization Program cost-effectiveness results</t>
  </si>
  <si>
    <t>AIC 2024 Portfolio (Income Qualified Excluded)</t>
  </si>
  <si>
    <r>
      <t xml:space="preserve">a </t>
    </r>
    <r>
      <rPr>
        <sz val="10"/>
        <color theme="1"/>
        <rFont val="Franklin Gothic Book"/>
        <family val="2"/>
      </rPr>
      <t>UCT benefits exclude benefits associated with propane and non-AIC gas, and therefore do not precisely equal the sum of columns B and C.</t>
    </r>
  </si>
  <si>
    <t>(s)</t>
  </si>
  <si>
    <t>(t)</t>
  </si>
  <si>
    <t>(y) =(b+c+d+e+f)</t>
  </si>
  <si>
    <r>
      <t>(ac) =(b+c)</t>
    </r>
    <r>
      <rPr>
        <i/>
        <vertAlign val="superscript"/>
        <sz val="10"/>
        <rFont val="Franklin Gothic Medium"/>
        <family val="2"/>
      </rPr>
      <t>a</t>
    </r>
  </si>
  <si>
    <t>(af)=(ac/ad)</t>
  </si>
  <si>
    <t>(ae)=(ac-ad)</t>
  </si>
  <si>
    <t>(ad) =(i+j+p+q+r+s)</t>
  </si>
  <si>
    <t>(ab)=(y/z)</t>
  </si>
  <si>
    <t>(aa)=(y-z)</t>
  </si>
  <si>
    <t>(z) =(i+j+k+l+m+p+q+t)</t>
  </si>
  <si>
    <t>(x)=(u/v)</t>
  </si>
  <si>
    <t>(w)=(u-v)</t>
  </si>
  <si>
    <t>(v) =(i+j+k+l+m+n+o+p+q+t)</t>
  </si>
  <si>
    <t>(u) =(b+c+d+e+f+g+h)</t>
  </si>
  <si>
    <t>Participant NEI Cost Changes</t>
  </si>
  <si>
    <t>IL Total Resource Cost (TRC) Test - with Participant/Societal NEIs</t>
  </si>
  <si>
    <t>IL Total Resource Cost (TRC) Test - without Participant/Societal NEIs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</si>
</sst>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3" x14ac:knownFonts="1">
    <font>
      <sz val="11"/>
      <color theme="1"/>
      <name val="Aptos Narrow"/>
      <family val="2"/>
      <scheme val="minor"/>
    </font>
    <font>
      <sz val="10"/>
      <color theme="1"/>
      <name val="Franklin Gothic Book"/>
      <family val="2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Franklin Gothic Book"/>
      <family val="2"/>
    </font>
    <font>
      <i/>
      <sz val="11"/>
      <color theme="1"/>
      <name val="Aptos Narrow"/>
      <family val="2"/>
      <scheme val="minor"/>
    </font>
    <font>
      <b/>
      <i/>
      <sz val="10"/>
      <color rgb="FF000000"/>
      <name val="Franklin Gothic Book"/>
      <family val="2"/>
    </font>
    <font>
      <i/>
      <sz val="10"/>
      <name val="Franklin Gothic Medium"/>
      <family val="2"/>
    </font>
    <font>
      <sz val="10"/>
      <color theme="0"/>
      <name val="Franklin Gothic Medium"/>
      <family val="2"/>
    </font>
    <font>
      <sz val="14"/>
      <color theme="1"/>
      <name val="Aptos Narrow"/>
      <family val="2"/>
      <scheme val="minor"/>
    </font>
    <font>
      <i/>
      <sz val="10"/>
      <color theme="0"/>
      <name val="Franklin Gothic Medium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rgb="FF4A4D56"/>
      <name val="Franklin Gothic Book"/>
      <family val="2"/>
    </font>
    <font>
      <sz val="10"/>
      <color rgb="FF4A4D56"/>
      <name val="Franklin Gothic Book"/>
      <family val="2"/>
    </font>
    <font>
      <b/>
      <sz val="10"/>
      <color rgb="FF4A4D56"/>
      <name val="Franklin Gothic Book"/>
      <family val="2"/>
    </font>
    <font>
      <sz val="11"/>
      <name val="Calibri"/>
      <family val="2"/>
    </font>
    <font>
      <b/>
      <i/>
      <sz val="10"/>
      <color rgb="FF4A4D56"/>
      <name val="Franklin Gothic Book"/>
      <family val="2"/>
    </font>
    <font>
      <sz val="11"/>
      <color rgb="FF4A4D56"/>
      <name val="Times New Roman"/>
      <family val="1"/>
    </font>
    <font>
      <sz val="10"/>
      <color rgb="FF4A4D56"/>
      <name val="Franklin Gothic Medium"/>
      <family val="2"/>
    </font>
    <font>
      <sz val="10"/>
      <color rgb="FF000000"/>
      <name val="Franklin Gothic Medium"/>
      <family val="2"/>
    </font>
    <font>
      <vertAlign val="superscript"/>
      <sz val="10"/>
      <color theme="1"/>
      <name val="Franklin Gothic Book"/>
      <family val="2"/>
    </font>
    <font>
      <i/>
      <vertAlign val="superscript"/>
      <sz val="10"/>
      <name val="Franklin Gothic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5357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rgb="FF4D4D4F"/>
      </left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/>
      <right style="thin">
        <color rgb="FF4D4D4F"/>
      </right>
      <top style="medium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medium">
        <color indexed="64"/>
      </bottom>
      <diagonal/>
    </border>
    <border>
      <left/>
      <right style="thin">
        <color rgb="FF4D4D4F"/>
      </right>
      <top/>
      <bottom/>
      <diagonal/>
    </border>
    <border>
      <left/>
      <right style="thin">
        <color rgb="FF4D4D4F"/>
      </right>
      <top style="thin">
        <color rgb="FF4D4D4F"/>
      </top>
      <bottom style="thin">
        <color rgb="FF4D4D4F"/>
      </bottom>
      <diagonal/>
    </border>
    <border>
      <left/>
      <right/>
      <top style="thin">
        <color rgb="FF4D4D4F"/>
      </top>
      <bottom style="thin">
        <color rgb="FF4D4D4F"/>
      </bottom>
      <diagonal/>
    </border>
    <border>
      <left style="thin">
        <color rgb="FF4D4D4F"/>
      </left>
      <right/>
      <top style="thin">
        <color rgb="FF4D4D4F"/>
      </top>
      <bottom style="thin">
        <color rgb="FF4D4D4F"/>
      </bottom>
      <diagonal/>
    </border>
    <border>
      <left style="thin">
        <color rgb="FF4D4D4F"/>
      </left>
      <right/>
      <top style="thin">
        <color rgb="FF4D4D4F"/>
      </top>
      <bottom/>
      <diagonal/>
    </border>
    <border>
      <left style="thin">
        <color rgb="FF4D4D4F"/>
      </left>
      <right style="thin">
        <color rgb="FF4D4D4F"/>
      </right>
      <top/>
      <bottom style="thin">
        <color indexed="64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indexed="64"/>
      </bottom>
      <diagonal/>
    </border>
    <border>
      <left/>
      <right style="thin">
        <color rgb="FF4D4D4F"/>
      </right>
      <top style="thin">
        <color rgb="FF4D4D4F"/>
      </top>
      <bottom/>
      <diagonal/>
    </border>
    <border>
      <left/>
      <right/>
      <top style="thin">
        <color rgb="FF4D4D4F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6" fillId="0" borderId="0"/>
    <xf numFmtId="0" fontId="2" fillId="0" borderId="0"/>
  </cellStyleXfs>
  <cellXfs count="8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5" fillId="0" borderId="0" xfId="0" applyFont="1"/>
    <xf numFmtId="0" fontId="6" fillId="2" borderId="4" xfId="0" applyFont="1" applyFill="1" applyBorder="1"/>
    <xf numFmtId="0" fontId="4" fillId="2" borderId="4" xfId="0" applyFont="1" applyFill="1" applyBorder="1"/>
    <xf numFmtId="0" fontId="6" fillId="2" borderId="8" xfId="0" applyFont="1" applyFill="1" applyBorder="1"/>
    <xf numFmtId="0" fontId="5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0" borderId="0" xfId="0" applyFont="1"/>
    <xf numFmtId="0" fontId="4" fillId="2" borderId="5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164" fontId="14" fillId="0" borderId="14" xfId="1" applyNumberFormat="1" applyFont="1" applyBorder="1"/>
    <xf numFmtId="164" fontId="15" fillId="2" borderId="13" xfId="0" applyNumberFormat="1" applyFont="1" applyFill="1" applyBorder="1"/>
    <xf numFmtId="0" fontId="15" fillId="2" borderId="13" xfId="0" applyFont="1" applyFill="1" applyBorder="1"/>
    <xf numFmtId="2" fontId="14" fillId="0" borderId="14" xfId="0" applyNumberFormat="1" applyFont="1" applyBorder="1"/>
    <xf numFmtId="0" fontId="7" fillId="4" borderId="6" xfId="0" applyFont="1" applyFill="1" applyBorder="1" applyAlignment="1">
      <alignment horizontal="center" vertical="center"/>
    </xf>
    <xf numFmtId="0" fontId="16" fillId="5" borderId="0" xfId="2" applyFill="1"/>
    <xf numFmtId="0" fontId="0" fillId="5" borderId="0" xfId="0" applyFill="1"/>
    <xf numFmtId="0" fontId="14" fillId="5" borderId="6" xfId="3" applyFont="1" applyFill="1" applyBorder="1"/>
    <xf numFmtId="14" fontId="14" fillId="5" borderId="6" xfId="3" applyNumberFormat="1" applyFont="1" applyFill="1" applyBorder="1" applyAlignment="1">
      <alignment horizontal="left"/>
    </xf>
    <xf numFmtId="0" fontId="8" fillId="6" borderId="5" xfId="3" applyFont="1" applyFill="1" applyBorder="1" applyAlignment="1">
      <alignment horizontal="left" wrapText="1"/>
    </xf>
    <xf numFmtId="0" fontId="14" fillId="5" borderId="5" xfId="3" applyFont="1" applyFill="1" applyBorder="1"/>
    <xf numFmtId="0" fontId="14" fillId="5" borderId="6" xfId="2" applyFont="1" applyFill="1" applyBorder="1"/>
    <xf numFmtId="0" fontId="7" fillId="4" borderId="5" xfId="0" applyFont="1" applyFill="1" applyBorder="1" applyAlignment="1">
      <alignment horizontal="center" vertical="center"/>
    </xf>
    <xf numFmtId="0" fontId="14" fillId="0" borderId="6" xfId="0" applyFont="1" applyBorder="1"/>
    <xf numFmtId="164" fontId="14" fillId="0" borderId="9" xfId="1" applyNumberFormat="1" applyFont="1" applyBorder="1"/>
    <xf numFmtId="164" fontId="14" fillId="0" borderId="6" xfId="1" applyNumberFormat="1" applyFont="1" applyBorder="1"/>
    <xf numFmtId="164" fontId="15" fillId="2" borderId="4" xfId="0" applyNumberFormat="1" applyFont="1" applyFill="1" applyBorder="1"/>
    <xf numFmtId="2" fontId="14" fillId="0" borderId="6" xfId="0" applyNumberFormat="1" applyFont="1" applyBorder="1"/>
    <xf numFmtId="0" fontId="15" fillId="2" borderId="4" xfId="0" applyFont="1" applyFill="1" applyBorder="1"/>
    <xf numFmtId="2" fontId="14" fillId="0" borderId="1" xfId="0" applyNumberFormat="1" applyFont="1" applyBorder="1"/>
    <xf numFmtId="0" fontId="13" fillId="0" borderId="1" xfId="0" applyFont="1" applyBorder="1" applyAlignment="1">
      <alignment horizontal="left" indent="1"/>
    </xf>
    <xf numFmtId="164" fontId="13" fillId="0" borderId="6" xfId="1" applyNumberFormat="1" applyFont="1" applyBorder="1"/>
    <xf numFmtId="164" fontId="17" fillId="2" borderId="4" xfId="0" applyNumberFormat="1" applyFont="1" applyFill="1" applyBorder="1"/>
    <xf numFmtId="164" fontId="13" fillId="0" borderId="6" xfId="1" applyNumberFormat="1" applyFont="1" applyFill="1" applyBorder="1"/>
    <xf numFmtId="2" fontId="13" fillId="0" borderId="6" xfId="0" applyNumberFormat="1" applyFont="1" applyBorder="1"/>
    <xf numFmtId="0" fontId="17" fillId="2" borderId="4" xfId="0" applyFont="1" applyFill="1" applyBorder="1"/>
    <xf numFmtId="2" fontId="13" fillId="0" borderId="1" xfId="0" applyNumberFormat="1" applyFont="1" applyBorder="1"/>
    <xf numFmtId="0" fontId="13" fillId="0" borderId="6" xfId="0" applyFont="1" applyBorder="1" applyAlignment="1">
      <alignment horizontal="left" indent="1"/>
    </xf>
    <xf numFmtId="0" fontId="13" fillId="0" borderId="5" xfId="0" applyFont="1" applyBorder="1" applyAlignment="1">
      <alignment horizontal="left" indent="1"/>
    </xf>
    <xf numFmtId="164" fontId="13" fillId="0" borderId="5" xfId="1" applyNumberFormat="1" applyFont="1" applyBorder="1"/>
    <xf numFmtId="2" fontId="13" fillId="0" borderId="6" xfId="0" applyNumberFormat="1" applyFont="1" applyBorder="1" applyAlignment="1">
      <alignment horizontal="right"/>
    </xf>
    <xf numFmtId="2" fontId="13" fillId="0" borderId="7" xfId="0" applyNumberFormat="1" applyFont="1" applyBorder="1" applyAlignment="1">
      <alignment horizontal="right"/>
    </xf>
    <xf numFmtId="0" fontId="14" fillId="0" borderId="2" xfId="0" applyFont="1" applyBorder="1"/>
    <xf numFmtId="164" fontId="14" fillId="0" borderId="2" xfId="1" applyNumberFormat="1" applyFont="1" applyBorder="1"/>
    <xf numFmtId="164" fontId="14" fillId="0" borderId="1" xfId="1" applyNumberFormat="1" applyFont="1" applyBorder="1"/>
    <xf numFmtId="2" fontId="14" fillId="0" borderId="2" xfId="0" applyNumberFormat="1" applyFont="1" applyBorder="1"/>
    <xf numFmtId="2" fontId="13" fillId="0" borderId="5" xfId="0" applyNumberFormat="1" applyFont="1" applyBorder="1"/>
    <xf numFmtId="2" fontId="13" fillId="0" borderId="7" xfId="0" applyNumberFormat="1" applyFont="1" applyBorder="1"/>
    <xf numFmtId="2" fontId="14" fillId="0" borderId="2" xfId="0" applyNumberFormat="1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>
      <alignment horizontal="right"/>
    </xf>
    <xf numFmtId="2" fontId="13" fillId="0" borderId="5" xfId="0" applyNumberFormat="1" applyFont="1" applyBorder="1" applyAlignment="1">
      <alignment horizontal="right"/>
    </xf>
    <xf numFmtId="0" fontId="18" fillId="0" borderId="0" xfId="0" applyFont="1"/>
    <xf numFmtId="0" fontId="19" fillId="0" borderId="2" xfId="0" applyFont="1" applyBorder="1"/>
    <xf numFmtId="164" fontId="19" fillId="0" borderId="2" xfId="1" applyNumberFormat="1" applyFont="1" applyBorder="1"/>
    <xf numFmtId="164" fontId="19" fillId="2" borderId="1" xfId="0" applyNumberFormat="1" applyFont="1" applyFill="1" applyBorder="1"/>
    <xf numFmtId="164" fontId="19" fillId="0" borderId="3" xfId="1" applyNumberFormat="1" applyFont="1" applyBorder="1"/>
    <xf numFmtId="2" fontId="19" fillId="0" borderId="2" xfId="0" applyNumberFormat="1" applyFont="1" applyBorder="1"/>
    <xf numFmtId="0" fontId="19" fillId="2" borderId="1" xfId="0" applyFont="1" applyFill="1" applyBorder="1"/>
    <xf numFmtId="164" fontId="19" fillId="0" borderId="2" xfId="1" applyNumberFormat="1" applyFont="1" applyBorder="1" applyAlignment="1">
      <alignment horizontal="right"/>
    </xf>
    <xf numFmtId="0" fontId="20" fillId="2" borderId="1" xfId="0" applyFont="1" applyFill="1" applyBorder="1"/>
    <xf numFmtId="164" fontId="19" fillId="0" borderId="2" xfId="1" applyNumberFormat="1" applyFont="1" applyFill="1" applyBorder="1" applyAlignment="1">
      <alignment horizontal="right"/>
    </xf>
    <xf numFmtId="164" fontId="14" fillId="0" borderId="6" xfId="1" applyNumberFormat="1" applyFont="1" applyBorder="1" applyAlignment="1">
      <alignment horizontal="right"/>
    </xf>
    <xf numFmtId="164" fontId="13" fillId="0" borderId="6" xfId="1" applyNumberFormat="1" applyFont="1" applyBorder="1" applyAlignment="1">
      <alignment horizontal="right"/>
    </xf>
    <xf numFmtId="164" fontId="13" fillId="0" borderId="7" xfId="1" applyNumberFormat="1" applyFont="1" applyBorder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64" fontId="13" fillId="0" borderId="5" xfId="1" applyNumberFormat="1" applyFont="1" applyBorder="1" applyAlignment="1">
      <alignment horizontal="right"/>
    </xf>
    <xf numFmtId="164" fontId="13" fillId="0" borderId="7" xfId="1" applyNumberFormat="1" applyFont="1" applyBorder="1"/>
    <xf numFmtId="164" fontId="13" fillId="0" borderId="1" xfId="1" applyNumberFormat="1" applyFont="1" applyBorder="1" applyAlignment="1">
      <alignment horizontal="right"/>
    </xf>
    <xf numFmtId="164" fontId="14" fillId="0" borderId="1" xfId="1" applyNumberFormat="1" applyFont="1" applyFill="1" applyBorder="1" applyAlignment="1">
      <alignment horizontal="right"/>
    </xf>
    <xf numFmtId="0" fontId="14" fillId="0" borderId="14" xfId="0" applyFont="1" applyBorder="1" applyAlignment="1">
      <alignment vertical="center"/>
    </xf>
    <xf numFmtId="0" fontId="8" fillId="6" borderId="12" xfId="3" applyFont="1" applyFill="1" applyBorder="1" applyAlignment="1">
      <alignment horizontal="left" wrapText="1"/>
    </xf>
    <xf numFmtId="0" fontId="8" fillId="6" borderId="15" xfId="3" applyFont="1" applyFill="1" applyBorder="1" applyAlignment="1">
      <alignment horizontal="left" wrapText="1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10" xfId="3" xr:uid="{7EF34FE0-373E-4660-B324-D9B8ED5DA61E}"/>
    <cellStyle name="Normal 4" xfId="2" xr:uid="{F569D0BB-9D0C-403E-B816-776D7EE7E03B}"/>
  </cellStyles>
  <dxfs count="0"/>
  <tableStyles count="0" defaultTableStyle="TableStyleMedium2" defaultPivotStyle="PivotStyleLight16"/>
  <colors>
    <mruColors>
      <color rgb="FF4A4D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85724</xdr:colOff>
      <xdr:row>0</xdr:row>
      <xdr:rowOff>142874</xdr:rowOff>
    </xdr:from>
    <xdr:ext cx="2946382" cy="914400"/>
    <xdr:pic>
      <xdr:nvPicPr>
        <xdr:cNvPr id="2" name="Picture 1" descr="http://odc-web:85/Marketing/Branding/Logo%20cropped_web.jpg">
          <a:extLst>
            <a:ext uri="{FF2B5EF4-FFF2-40B4-BE49-F238E27FC236}">
              <a16:creationId xmlns:a16="http://schemas.microsoft.com/office/drawing/2014/main" id="{F58EFD39-5B2B-41E7-A8AD-CFFA578D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142874"/>
          <a:ext cx="2946382" cy="9144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4A4D56"/>
      </a:dk1>
      <a:lt1>
        <a:srgbClr val="FFFFFF"/>
      </a:lt1>
      <a:dk2>
        <a:srgbClr val="053572"/>
      </a:dk2>
      <a:lt2>
        <a:srgbClr val="FFFFFF"/>
      </a:lt2>
      <a:accent1>
        <a:srgbClr val="172B54"/>
      </a:accent1>
      <a:accent2>
        <a:srgbClr val="265EAC"/>
      </a:accent2>
      <a:accent3>
        <a:srgbClr val="1FA9E1"/>
      </a:accent3>
      <a:accent4>
        <a:srgbClr val="7E83C0"/>
      </a:accent4>
      <a:accent5>
        <a:srgbClr val="5661AC"/>
      </a:accent5>
      <a:accent6>
        <a:srgbClr val="FFDFB8"/>
      </a:accent6>
      <a:hlink>
        <a:srgbClr val="4087C7"/>
      </a:hlink>
      <a:folHlink>
        <a:srgbClr val="A1CBE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D1A4-7A7E-4AA0-AA5E-FBAC7E768AD2}">
  <sheetPr>
    <tabColor theme="4"/>
  </sheetPr>
  <dimension ref="A1:B16"/>
  <sheetViews>
    <sheetView workbookViewId="0">
      <selection activeCell="B23" sqref="B23"/>
    </sheetView>
  </sheetViews>
  <sheetFormatPr defaultRowHeight="15" x14ac:dyDescent="0.25"/>
  <cols>
    <col min="1" max="1" width="23.140625" style="22" bestFit="1" customWidth="1"/>
    <col min="2" max="2" width="107.140625" style="22" bestFit="1" customWidth="1"/>
    <col min="3" max="16384" width="9.140625" style="22"/>
  </cols>
  <sheetData>
    <row r="1" spans="1:2" x14ac:dyDescent="0.25">
      <c r="A1" s="21"/>
      <c r="B1" s="21"/>
    </row>
    <row r="2" spans="1:2" x14ac:dyDescent="0.25">
      <c r="A2" s="21"/>
      <c r="B2"/>
    </row>
    <row r="3" spans="1:2" x14ac:dyDescent="0.25">
      <c r="A3" s="21"/>
      <c r="B3" s="21"/>
    </row>
    <row r="4" spans="1:2" x14ac:dyDescent="0.25">
      <c r="A4" s="21"/>
      <c r="B4" s="21"/>
    </row>
    <row r="5" spans="1:2" x14ac:dyDescent="0.25">
      <c r="A5" s="21"/>
      <c r="B5" s="21"/>
    </row>
    <row r="6" spans="1:2" x14ac:dyDescent="0.25">
      <c r="A6" s="21"/>
      <c r="B6" s="21"/>
    </row>
    <row r="7" spans="1:2" x14ac:dyDescent="0.25">
      <c r="A7" s="77" t="s">
        <v>95</v>
      </c>
      <c r="B7" s="78"/>
    </row>
    <row r="8" spans="1:2" x14ac:dyDescent="0.25">
      <c r="A8" s="23" t="s">
        <v>96</v>
      </c>
      <c r="B8" s="23" t="s">
        <v>106</v>
      </c>
    </row>
    <row r="9" spans="1:2" x14ac:dyDescent="0.25">
      <c r="A9" s="23" t="s">
        <v>97</v>
      </c>
      <c r="B9" s="23" t="s">
        <v>107</v>
      </c>
    </row>
    <row r="10" spans="1:2" x14ac:dyDescent="0.25">
      <c r="A10" s="23" t="s">
        <v>98</v>
      </c>
      <c r="B10" s="23" t="s">
        <v>108</v>
      </c>
    </row>
    <row r="11" spans="1:2" x14ac:dyDescent="0.25">
      <c r="A11" s="23" t="s">
        <v>99</v>
      </c>
      <c r="B11" s="24">
        <v>45831</v>
      </c>
    </row>
    <row r="12" spans="1:2" x14ac:dyDescent="0.25">
      <c r="A12" s="21"/>
      <c r="B12" s="21"/>
    </row>
    <row r="13" spans="1:2" x14ac:dyDescent="0.25">
      <c r="A13" s="25" t="s">
        <v>100</v>
      </c>
      <c r="B13" s="25" t="s">
        <v>101</v>
      </c>
    </row>
    <row r="14" spans="1:2" x14ac:dyDescent="0.25">
      <c r="A14" s="26" t="s">
        <v>102</v>
      </c>
      <c r="B14" s="26" t="s">
        <v>103</v>
      </c>
    </row>
    <row r="15" spans="1:2" x14ac:dyDescent="0.25">
      <c r="A15" s="27" t="s">
        <v>104</v>
      </c>
      <c r="B15" s="27" t="s">
        <v>109</v>
      </c>
    </row>
    <row r="16" spans="1:2" x14ac:dyDescent="0.25">
      <c r="A16" s="27" t="s">
        <v>105</v>
      </c>
      <c r="B16" s="27" t="s">
        <v>110</v>
      </c>
    </row>
  </sheetData>
  <mergeCells count="1">
    <mergeCell ref="A7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B425D-42E9-4234-AE48-FAE2292F14A6}">
  <sheetPr>
    <pageSetUpPr fitToPage="1"/>
  </sheetPr>
  <dimension ref="A1:AK49"/>
  <sheetViews>
    <sheetView tabSelected="1" workbookViewId="0">
      <selection activeCell="G12" sqref="G12"/>
    </sheetView>
  </sheetViews>
  <sheetFormatPr defaultRowHeight="15" x14ac:dyDescent="0.25"/>
  <cols>
    <col min="1" max="1" width="45.7109375" bestFit="1" customWidth="1"/>
    <col min="2" max="8" width="16.85546875" customWidth="1"/>
    <col min="9" max="9" width="2.140625" customWidth="1"/>
    <col min="10" max="21" width="16.85546875" customWidth="1"/>
    <col min="22" max="22" width="2.140625" customWidth="1"/>
    <col min="23" max="23" width="25.140625" customWidth="1"/>
    <col min="24" max="24" width="27.7109375" customWidth="1"/>
    <col min="25" max="25" width="17.28515625" customWidth="1"/>
    <col min="26" max="26" width="14.28515625" customWidth="1"/>
    <col min="27" max="27" width="2.140625" customWidth="1"/>
    <col min="28" max="28" width="22.85546875" customWidth="1"/>
    <col min="29" max="29" width="25" customWidth="1"/>
    <col min="30" max="30" width="19.85546875" customWidth="1"/>
    <col min="31" max="31" width="14.140625" customWidth="1"/>
    <col min="32" max="32" width="2.140625" customWidth="1"/>
    <col min="33" max="33" width="22.28515625" bestFit="1" customWidth="1"/>
    <col min="34" max="34" width="18.5703125" bestFit="1" customWidth="1"/>
    <col min="35" max="35" width="21" customWidth="1"/>
    <col min="36" max="36" width="15.5703125" customWidth="1"/>
    <col min="37" max="37" width="2.140625" customWidth="1"/>
  </cols>
  <sheetData>
    <row r="1" spans="1:37" s="12" customFormat="1" ht="18.75" x14ac:dyDescent="0.3">
      <c r="A1" s="84" t="s">
        <v>93</v>
      </c>
      <c r="B1" s="81" t="s">
        <v>92</v>
      </c>
      <c r="C1" s="82"/>
      <c r="D1" s="82"/>
      <c r="E1" s="82"/>
      <c r="F1" s="82"/>
      <c r="G1" s="82"/>
      <c r="H1" s="83"/>
      <c r="I1" s="13"/>
      <c r="J1" s="81" t="s">
        <v>91</v>
      </c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  <c r="V1" s="13"/>
      <c r="W1" s="81" t="s">
        <v>128</v>
      </c>
      <c r="X1" s="82"/>
      <c r="Y1" s="82"/>
      <c r="Z1" s="83"/>
      <c r="AA1" s="14"/>
      <c r="AB1" s="81" t="s">
        <v>129</v>
      </c>
      <c r="AC1" s="82"/>
      <c r="AD1" s="82"/>
      <c r="AE1" s="83"/>
      <c r="AF1" s="13"/>
      <c r="AG1" s="81" t="s">
        <v>88</v>
      </c>
      <c r="AH1" s="82"/>
      <c r="AI1" s="82"/>
      <c r="AJ1" s="83"/>
      <c r="AK1" s="13"/>
    </row>
    <row r="2" spans="1:37" ht="27" x14ac:dyDescent="0.25">
      <c r="A2" s="85"/>
      <c r="B2" s="11" t="s">
        <v>87</v>
      </c>
      <c r="C2" s="9" t="s">
        <v>86</v>
      </c>
      <c r="D2" s="9" t="s">
        <v>85</v>
      </c>
      <c r="E2" s="9" t="s">
        <v>84</v>
      </c>
      <c r="F2" s="9" t="s">
        <v>83</v>
      </c>
      <c r="G2" s="9" t="s">
        <v>127</v>
      </c>
      <c r="H2" s="9" t="s">
        <v>82</v>
      </c>
      <c r="I2" s="5"/>
      <c r="J2" s="11" t="s">
        <v>87</v>
      </c>
      <c r="K2" s="9" t="s">
        <v>86</v>
      </c>
      <c r="L2" s="9" t="s">
        <v>85</v>
      </c>
      <c r="M2" s="9" t="s">
        <v>84</v>
      </c>
      <c r="N2" s="9" t="s">
        <v>83</v>
      </c>
      <c r="O2" s="9" t="s">
        <v>127</v>
      </c>
      <c r="P2" s="9" t="s">
        <v>82</v>
      </c>
      <c r="Q2" s="10" t="s">
        <v>81</v>
      </c>
      <c r="R2" s="10" t="s">
        <v>80</v>
      </c>
      <c r="S2" s="10" t="s">
        <v>79</v>
      </c>
      <c r="T2" s="10" t="s">
        <v>78</v>
      </c>
      <c r="U2" s="10" t="s">
        <v>77</v>
      </c>
      <c r="V2" s="5"/>
      <c r="W2" s="9" t="s">
        <v>76</v>
      </c>
      <c r="X2" s="9" t="s">
        <v>75</v>
      </c>
      <c r="Y2" s="9" t="s">
        <v>74</v>
      </c>
      <c r="Z2" s="9" t="s">
        <v>73</v>
      </c>
      <c r="AA2" s="5"/>
      <c r="AB2" s="9" t="s">
        <v>76</v>
      </c>
      <c r="AC2" s="9" t="s">
        <v>75</v>
      </c>
      <c r="AD2" s="9" t="s">
        <v>74</v>
      </c>
      <c r="AE2" s="9" t="s">
        <v>73</v>
      </c>
      <c r="AF2" s="5"/>
      <c r="AG2" s="8" t="s">
        <v>72</v>
      </c>
      <c r="AH2" s="8" t="s">
        <v>71</v>
      </c>
      <c r="AI2" s="8" t="s">
        <v>70</v>
      </c>
      <c r="AJ2" s="8" t="s">
        <v>69</v>
      </c>
      <c r="AK2" s="5"/>
    </row>
    <row r="3" spans="1:37" s="7" customFormat="1" x14ac:dyDescent="0.25">
      <c r="A3" s="28" t="s">
        <v>68</v>
      </c>
      <c r="B3" s="20" t="s">
        <v>67</v>
      </c>
      <c r="C3" s="20" t="s">
        <v>66</v>
      </c>
      <c r="D3" s="20" t="s">
        <v>65</v>
      </c>
      <c r="E3" s="20" t="s">
        <v>64</v>
      </c>
      <c r="F3" s="20" t="s">
        <v>63</v>
      </c>
      <c r="G3" s="20" t="s">
        <v>62</v>
      </c>
      <c r="H3" s="20" t="s">
        <v>61</v>
      </c>
      <c r="I3" s="5"/>
      <c r="J3" s="20" t="s">
        <v>60</v>
      </c>
      <c r="K3" s="20" t="s">
        <v>59</v>
      </c>
      <c r="L3" s="20" t="s">
        <v>58</v>
      </c>
      <c r="M3" s="20" t="s">
        <v>57</v>
      </c>
      <c r="N3" s="20" t="s">
        <v>56</v>
      </c>
      <c r="O3" s="20" t="s">
        <v>55</v>
      </c>
      <c r="P3" s="20" t="s">
        <v>54</v>
      </c>
      <c r="Q3" s="20" t="s">
        <v>53</v>
      </c>
      <c r="R3" s="20" t="s">
        <v>52</v>
      </c>
      <c r="S3" s="20" t="s">
        <v>51</v>
      </c>
      <c r="T3" s="20" t="s">
        <v>113</v>
      </c>
      <c r="U3" s="20" t="s">
        <v>114</v>
      </c>
      <c r="V3" s="5"/>
      <c r="W3" s="20" t="s">
        <v>126</v>
      </c>
      <c r="X3" s="20" t="s">
        <v>125</v>
      </c>
      <c r="Y3" s="20" t="s">
        <v>124</v>
      </c>
      <c r="Z3" s="20" t="s">
        <v>123</v>
      </c>
      <c r="AA3" s="5"/>
      <c r="AB3" s="20" t="s">
        <v>115</v>
      </c>
      <c r="AC3" s="20" t="s">
        <v>122</v>
      </c>
      <c r="AD3" s="20" t="s">
        <v>121</v>
      </c>
      <c r="AE3" s="20" t="s">
        <v>120</v>
      </c>
      <c r="AF3" s="5"/>
      <c r="AG3" s="20" t="s">
        <v>116</v>
      </c>
      <c r="AH3" s="20" t="s">
        <v>119</v>
      </c>
      <c r="AI3" s="20" t="s">
        <v>118</v>
      </c>
      <c r="AJ3" s="20" t="s">
        <v>117</v>
      </c>
      <c r="AK3" s="5"/>
    </row>
    <row r="4" spans="1:37" x14ac:dyDescent="0.25">
      <c r="A4" s="29" t="s">
        <v>38</v>
      </c>
      <c r="B4" s="30">
        <f>SUM(B5:B23)</f>
        <v>68586283.085189074</v>
      </c>
      <c r="C4" s="30">
        <f t="shared" ref="C4:H4" si="0">SUM(C5:C23)</f>
        <v>17588114.635719027</v>
      </c>
      <c r="D4" s="30">
        <f t="shared" si="0"/>
        <v>17838010.5933697</v>
      </c>
      <c r="E4" s="30">
        <f t="shared" si="0"/>
        <v>18628736.783179432</v>
      </c>
      <c r="F4" s="30">
        <f t="shared" si="0"/>
        <v>44888217.299669638</v>
      </c>
      <c r="G4" s="30">
        <f t="shared" si="0"/>
        <v>19503.440000000002</v>
      </c>
      <c r="H4" s="30">
        <f t="shared" si="0"/>
        <v>7245978.7658708328</v>
      </c>
      <c r="I4" s="32"/>
      <c r="J4" s="31">
        <f>SUM(J5:J23)</f>
        <v>47775.842276606083</v>
      </c>
      <c r="K4" s="31">
        <f t="shared" ref="K4:U4" si="1">SUM(K5:K23)</f>
        <v>4953024.4629154122</v>
      </c>
      <c r="L4" s="31">
        <f t="shared" si="1"/>
        <v>0</v>
      </c>
      <c r="M4" s="31">
        <f t="shared" si="1"/>
        <v>0</v>
      </c>
      <c r="N4" s="31">
        <f t="shared" si="1"/>
        <v>50.80105779346394</v>
      </c>
      <c r="O4" s="31">
        <v>0</v>
      </c>
      <c r="P4" s="31">
        <f t="shared" si="1"/>
        <v>6283.5154127200449</v>
      </c>
      <c r="Q4" s="31">
        <f t="shared" si="1"/>
        <v>21438571.603700001</v>
      </c>
      <c r="R4" s="31">
        <f t="shared" si="1"/>
        <v>2980453.5010000002</v>
      </c>
      <c r="S4" s="31">
        <f t="shared" si="1"/>
        <v>38147504.059999995</v>
      </c>
      <c r="T4" s="31">
        <f t="shared" si="1"/>
        <v>6642518.7999999998</v>
      </c>
      <c r="U4" s="31">
        <f t="shared" si="1"/>
        <v>48893764.298286006</v>
      </c>
      <c r="V4" s="32"/>
      <c r="W4" s="31">
        <f>SUM(B4:H4)</f>
        <v>174794844.60299769</v>
      </c>
      <c r="X4" s="31">
        <f t="shared" ref="X4:X42" si="2">SUM(J4:U4)-SUM(S4:T4)</f>
        <v>78319924.024648547</v>
      </c>
      <c r="Y4" s="31">
        <f t="shared" ref="Y4:Y42" si="3">W4-X4</f>
        <v>96474920.578349143</v>
      </c>
      <c r="Z4" s="33">
        <f t="shared" ref="Z4:Z22" si="4">W4/X4</f>
        <v>2.2318055945507163</v>
      </c>
      <c r="AA4" s="34"/>
      <c r="AB4" s="31">
        <f>SUM(B4:F4)</f>
        <v>167529362.39712685</v>
      </c>
      <c r="AC4" s="68">
        <f t="shared" ref="AC4:AC42" si="5">SUM(J4:U4)-SUM(S4:T4)-P4</f>
        <v>78313640.509235829</v>
      </c>
      <c r="AD4" s="68">
        <f t="shared" ref="AD4:AD42" si="6">AB4-AC4</f>
        <v>89215721.887891024</v>
      </c>
      <c r="AE4" s="33">
        <f t="shared" ref="AE4:AE22" si="7">AB4/AC4</f>
        <v>2.1392105041696978</v>
      </c>
      <c r="AF4" s="34"/>
      <c r="AG4" s="68">
        <v>83160051.018881068</v>
      </c>
      <c r="AH4" s="68">
        <f t="shared" ref="AH4:AH41" si="8">Q4+R4+S4+T4+J4+K4</f>
        <v>74209848.269892007</v>
      </c>
      <c r="AI4" s="71">
        <f t="shared" ref="AI4:AI41" si="9">AG4-AH4</f>
        <v>8950202.7489890605</v>
      </c>
      <c r="AJ4" s="35">
        <f t="shared" ref="AJ4:AJ22" si="10">AG4/AH4</f>
        <v>1.1206066709156752</v>
      </c>
      <c r="AK4" s="5"/>
    </row>
    <row r="5" spans="1:37" s="3" customFormat="1" x14ac:dyDescent="0.25">
      <c r="A5" s="36" t="s">
        <v>37</v>
      </c>
      <c r="B5" s="37">
        <v>10203838.607649719</v>
      </c>
      <c r="C5" s="37">
        <v>6121182.2821995281</v>
      </c>
      <c r="D5" s="37">
        <v>883387.73067455587</v>
      </c>
      <c r="E5" s="37">
        <v>3331579.3707953864</v>
      </c>
      <c r="F5" s="37">
        <v>8242939.7548622712</v>
      </c>
      <c r="G5" s="37">
        <v>0</v>
      </c>
      <c r="H5" s="37">
        <v>1104724.986519136</v>
      </c>
      <c r="I5" s="38"/>
      <c r="J5" s="37">
        <v>0</v>
      </c>
      <c r="K5" s="39">
        <v>187056.82468931036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1730224.97</v>
      </c>
      <c r="R5" s="39">
        <v>330151.75</v>
      </c>
      <c r="S5" s="39">
        <v>3288205.75</v>
      </c>
      <c r="T5" s="39">
        <v>1520255.74</v>
      </c>
      <c r="U5" s="39">
        <v>3332082.6426614071</v>
      </c>
      <c r="V5" s="38"/>
      <c r="W5" s="37">
        <f>SUM(B5:H5)</f>
        <v>29887652.732700597</v>
      </c>
      <c r="X5" s="37">
        <f t="shared" si="2"/>
        <v>5579516.1873507183</v>
      </c>
      <c r="Y5" s="37">
        <f t="shared" si="3"/>
        <v>24308136.545349881</v>
      </c>
      <c r="Z5" s="40">
        <f t="shared" si="4"/>
        <v>5.3566746164226</v>
      </c>
      <c r="AA5" s="41"/>
      <c r="AB5" s="69">
        <f t="shared" ref="AB5:AB23" si="11">SUM(B5:F5)</f>
        <v>28782927.746181462</v>
      </c>
      <c r="AC5" s="69">
        <f t="shared" si="5"/>
        <v>5579516.1873507183</v>
      </c>
      <c r="AD5" s="69">
        <f t="shared" si="6"/>
        <v>23203411.558830746</v>
      </c>
      <c r="AE5" s="40">
        <f t="shared" si="7"/>
        <v>5.1586780609105558</v>
      </c>
      <c r="AF5" s="41"/>
      <c r="AG5" s="69">
        <v>14516757.974982418</v>
      </c>
      <c r="AH5" s="69">
        <f t="shared" si="8"/>
        <v>7055895.03468931</v>
      </c>
      <c r="AI5" s="74">
        <f t="shared" si="9"/>
        <v>7460862.9402931081</v>
      </c>
      <c r="AJ5" s="42">
        <f t="shared" si="10"/>
        <v>2.0573942644572845</v>
      </c>
      <c r="AK5" s="4"/>
    </row>
    <row r="6" spans="1:37" s="3" customFormat="1" x14ac:dyDescent="0.25">
      <c r="A6" s="43" t="s">
        <v>36</v>
      </c>
      <c r="B6" s="37">
        <v>33193072.687290963</v>
      </c>
      <c r="C6" s="37">
        <v>3028222.6712393207</v>
      </c>
      <c r="D6" s="37">
        <v>1449864.9114010236</v>
      </c>
      <c r="E6" s="37">
        <v>12268465.20125578</v>
      </c>
      <c r="F6" s="37">
        <v>16268153.550634712</v>
      </c>
      <c r="G6" s="37">
        <v>0</v>
      </c>
      <c r="H6" s="37">
        <v>3400165.1079176418</v>
      </c>
      <c r="I6" s="38"/>
      <c r="J6" s="37">
        <v>0</v>
      </c>
      <c r="K6" s="39">
        <v>4371787.0904283347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1538383.13</v>
      </c>
      <c r="R6" s="39">
        <v>115809.17</v>
      </c>
      <c r="S6" s="39">
        <v>6429163.2000000002</v>
      </c>
      <c r="T6" s="39">
        <v>663165.5</v>
      </c>
      <c r="U6" s="39">
        <v>13921611.528800005</v>
      </c>
      <c r="V6" s="38"/>
      <c r="W6" s="37">
        <f t="shared" ref="W6:W23" si="12">SUM(B6:H6)</f>
        <v>69607944.129739434</v>
      </c>
      <c r="X6" s="37">
        <f t="shared" si="2"/>
        <v>19947590.919228341</v>
      </c>
      <c r="Y6" s="37">
        <f t="shared" si="3"/>
        <v>49660353.210511088</v>
      </c>
      <c r="Z6" s="40">
        <f t="shared" si="4"/>
        <v>3.4895413893134002</v>
      </c>
      <c r="AA6" s="41"/>
      <c r="AB6" s="69">
        <f t="shared" si="11"/>
        <v>66207779.021821797</v>
      </c>
      <c r="AC6" s="69">
        <f t="shared" si="5"/>
        <v>19947590.919228341</v>
      </c>
      <c r="AD6" s="69">
        <f t="shared" si="6"/>
        <v>46260188.102593452</v>
      </c>
      <c r="AE6" s="40">
        <f t="shared" si="7"/>
        <v>3.3190864646217135</v>
      </c>
      <c r="AF6" s="41"/>
      <c r="AG6" s="69">
        <v>35549802.221230678</v>
      </c>
      <c r="AH6" s="69">
        <f t="shared" si="8"/>
        <v>13118308.090428334</v>
      </c>
      <c r="AI6" s="74">
        <f t="shared" si="9"/>
        <v>22431494.130802345</v>
      </c>
      <c r="AJ6" s="42">
        <f t="shared" si="10"/>
        <v>2.7099380481214115</v>
      </c>
      <c r="AK6" s="4"/>
    </row>
    <row r="7" spans="1:37" s="3" customFormat="1" x14ac:dyDescent="0.25">
      <c r="A7" s="44" t="s">
        <v>35</v>
      </c>
      <c r="B7" s="37">
        <v>4063552.7196993199</v>
      </c>
      <c r="C7" s="37">
        <v>2578984.8001470347</v>
      </c>
      <c r="D7" s="37">
        <v>381112.22341327707</v>
      </c>
      <c r="E7" s="37">
        <v>212050.5522135139</v>
      </c>
      <c r="F7" s="37">
        <v>3910589.2405150975</v>
      </c>
      <c r="G7" s="37">
        <v>17028.88</v>
      </c>
      <c r="H7" s="37">
        <v>415612.62108703557</v>
      </c>
      <c r="I7" s="38"/>
      <c r="J7" s="37">
        <v>2473.9608190685899</v>
      </c>
      <c r="K7" s="39">
        <v>42834.280337973752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7851959.7300000004</v>
      </c>
      <c r="R7" s="39">
        <v>1132005.5820999998</v>
      </c>
      <c r="S7" s="39">
        <v>12421728.98</v>
      </c>
      <c r="T7" s="39">
        <v>2144115.27</v>
      </c>
      <c r="U7" s="39">
        <v>10911320.363666672</v>
      </c>
      <c r="V7" s="38"/>
      <c r="W7" s="37">
        <f t="shared" si="12"/>
        <v>11578931.037075279</v>
      </c>
      <c r="X7" s="37">
        <f t="shared" si="2"/>
        <v>19940593.916923717</v>
      </c>
      <c r="Y7" s="37">
        <f t="shared" si="3"/>
        <v>-8361662.8798484374</v>
      </c>
      <c r="Z7" s="40">
        <f t="shared" si="4"/>
        <v>0.58067132229437568</v>
      </c>
      <c r="AA7" s="41"/>
      <c r="AB7" s="69">
        <f t="shared" si="11"/>
        <v>11146289.535988243</v>
      </c>
      <c r="AC7" s="69">
        <f t="shared" si="5"/>
        <v>19940593.916923717</v>
      </c>
      <c r="AD7" s="69">
        <f t="shared" si="6"/>
        <v>-8794304.3809354734</v>
      </c>
      <c r="AE7" s="40">
        <f t="shared" si="7"/>
        <v>0.55897480197559768</v>
      </c>
      <c r="AF7" s="41"/>
      <c r="AG7" s="69">
        <v>6480164.878856306</v>
      </c>
      <c r="AH7" s="69">
        <f t="shared" si="8"/>
        <v>23595117.803257044</v>
      </c>
      <c r="AI7" s="74">
        <f t="shared" si="9"/>
        <v>-17114952.924400739</v>
      </c>
      <c r="AJ7" s="42">
        <f t="shared" si="10"/>
        <v>0.27464007312401684</v>
      </c>
      <c r="AK7" s="6"/>
    </row>
    <row r="8" spans="1:37" s="3" customFormat="1" x14ac:dyDescent="0.25">
      <c r="A8" s="44" t="s">
        <v>34</v>
      </c>
      <c r="B8" s="37">
        <v>1488650.3572966803</v>
      </c>
      <c r="C8" s="37">
        <v>696825.43831650098</v>
      </c>
      <c r="D8" s="37">
        <v>43330.96375089675</v>
      </c>
      <c r="E8" s="37">
        <v>414986.65265102446</v>
      </c>
      <c r="F8" s="37">
        <v>1258740.0318763121</v>
      </c>
      <c r="G8" s="37">
        <v>439.56</v>
      </c>
      <c r="H8" s="37">
        <v>157532.74197646542</v>
      </c>
      <c r="I8" s="38"/>
      <c r="J8" s="37">
        <v>0</v>
      </c>
      <c r="K8" s="39">
        <v>78250.474145067274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1915105.5933999999</v>
      </c>
      <c r="R8" s="39">
        <v>631937.07830000005</v>
      </c>
      <c r="S8" s="39">
        <v>1572143.7</v>
      </c>
      <c r="T8" s="39">
        <v>779112.39000000013</v>
      </c>
      <c r="U8" s="39">
        <v>3205291.4079999998</v>
      </c>
      <c r="V8" s="38"/>
      <c r="W8" s="37">
        <f t="shared" si="12"/>
        <v>4060505.7458678805</v>
      </c>
      <c r="X8" s="37">
        <f t="shared" si="2"/>
        <v>5830584.5538450666</v>
      </c>
      <c r="Y8" s="37">
        <f t="shared" si="3"/>
        <v>-1770078.8079771861</v>
      </c>
      <c r="Z8" s="40">
        <f t="shared" si="4"/>
        <v>0.69641486344454417</v>
      </c>
      <c r="AA8" s="41"/>
      <c r="AB8" s="69">
        <f t="shared" si="11"/>
        <v>3902533.4438914149</v>
      </c>
      <c r="AC8" s="69">
        <f t="shared" si="5"/>
        <v>5830584.5538450666</v>
      </c>
      <c r="AD8" s="69">
        <f t="shared" si="6"/>
        <v>-1928051.1099536517</v>
      </c>
      <c r="AE8" s="40">
        <f t="shared" si="7"/>
        <v>0.66932113030036255</v>
      </c>
      <c r="AF8" s="41"/>
      <c r="AG8" s="69">
        <v>2165644.2928125681</v>
      </c>
      <c r="AH8" s="69">
        <f t="shared" si="8"/>
        <v>4976549.2358450675</v>
      </c>
      <c r="AI8" s="74">
        <f t="shared" si="9"/>
        <v>-2810904.9430324994</v>
      </c>
      <c r="AJ8" s="42">
        <f t="shared" si="10"/>
        <v>0.43516987176854893</v>
      </c>
      <c r="AK8" s="6"/>
    </row>
    <row r="9" spans="1:37" s="3" customFormat="1" x14ac:dyDescent="0.25">
      <c r="A9" s="44" t="s">
        <v>33</v>
      </c>
      <c r="B9" s="37">
        <v>4418039.5894897263</v>
      </c>
      <c r="C9" s="37">
        <v>227635.43093095141</v>
      </c>
      <c r="D9" s="37">
        <v>2600162.8176843799</v>
      </c>
      <c r="E9" s="37">
        <v>381253.9106947488</v>
      </c>
      <c r="F9" s="37">
        <v>3806537.7079468272</v>
      </c>
      <c r="G9" s="37">
        <v>0</v>
      </c>
      <c r="H9" s="37">
        <v>626473.93712452613</v>
      </c>
      <c r="I9" s="38"/>
      <c r="J9" s="37">
        <v>0</v>
      </c>
      <c r="K9" s="39">
        <v>37465.857130986449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3157553.47</v>
      </c>
      <c r="R9" s="39">
        <v>215424.89</v>
      </c>
      <c r="S9" s="39">
        <v>6506264.6600000001</v>
      </c>
      <c r="T9" s="39">
        <v>131496.06</v>
      </c>
      <c r="U9" s="39">
        <v>5854457.993999999</v>
      </c>
      <c r="V9" s="38"/>
      <c r="W9" s="37">
        <f t="shared" si="12"/>
        <v>12060103.39387116</v>
      </c>
      <c r="X9" s="37">
        <f t="shared" si="2"/>
        <v>9264902.2111309879</v>
      </c>
      <c r="Y9" s="37">
        <f t="shared" si="3"/>
        <v>2795201.1827401724</v>
      </c>
      <c r="Z9" s="40">
        <f t="shared" si="4"/>
        <v>1.3016978613527057</v>
      </c>
      <c r="AA9" s="41"/>
      <c r="AB9" s="69">
        <f t="shared" si="11"/>
        <v>11433629.456746634</v>
      </c>
      <c r="AC9" s="69">
        <f t="shared" si="5"/>
        <v>9264902.2111309879</v>
      </c>
      <c r="AD9" s="69">
        <f t="shared" si="6"/>
        <v>2168727.2456156462</v>
      </c>
      <c r="AE9" s="40">
        <f t="shared" si="7"/>
        <v>1.2340798851616703</v>
      </c>
      <c r="AF9" s="41"/>
      <c r="AG9" s="69">
        <v>4645675.020420678</v>
      </c>
      <c r="AH9" s="69">
        <f t="shared" si="8"/>
        <v>10048204.937130986</v>
      </c>
      <c r="AI9" s="74">
        <f t="shared" si="9"/>
        <v>-5402529.9167103078</v>
      </c>
      <c r="AJ9" s="42">
        <f t="shared" si="10"/>
        <v>0.4623388007596842</v>
      </c>
      <c r="AK9" s="6"/>
    </row>
    <row r="10" spans="1:37" s="3" customFormat="1" x14ac:dyDescent="0.25">
      <c r="A10" s="43" t="s">
        <v>32</v>
      </c>
      <c r="B10" s="37">
        <v>355102.47319713642</v>
      </c>
      <c r="C10" s="37">
        <v>248230.81840629599</v>
      </c>
      <c r="D10" s="37">
        <v>0</v>
      </c>
      <c r="E10" s="37">
        <v>0</v>
      </c>
      <c r="F10" s="37">
        <v>302525.74491397315</v>
      </c>
      <c r="G10" s="37">
        <v>0</v>
      </c>
      <c r="H10" s="37">
        <v>34649.013114468849</v>
      </c>
      <c r="I10" s="38"/>
      <c r="J10" s="37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353962.27650000009</v>
      </c>
      <c r="R10" s="39">
        <v>37893.769999999997</v>
      </c>
      <c r="S10" s="39">
        <v>344358.75</v>
      </c>
      <c r="T10" s="39">
        <v>15565.05</v>
      </c>
      <c r="U10" s="39">
        <v>281753.18305560498</v>
      </c>
      <c r="V10" s="38"/>
      <c r="W10" s="37">
        <f t="shared" si="12"/>
        <v>940508.04963187443</v>
      </c>
      <c r="X10" s="37">
        <f t="shared" si="2"/>
        <v>673609.22955560521</v>
      </c>
      <c r="Y10" s="37">
        <f t="shared" si="3"/>
        <v>266898.82007626921</v>
      </c>
      <c r="Z10" s="40">
        <f t="shared" si="4"/>
        <v>1.3962220355150838</v>
      </c>
      <c r="AA10" s="41"/>
      <c r="AB10" s="69">
        <f t="shared" si="11"/>
        <v>905859.03651740553</v>
      </c>
      <c r="AC10" s="69">
        <f t="shared" si="5"/>
        <v>673609.22955560521</v>
      </c>
      <c r="AD10" s="69">
        <f t="shared" si="6"/>
        <v>232249.80696180032</v>
      </c>
      <c r="AE10" s="40">
        <f t="shared" si="7"/>
        <v>1.3447841816464132</v>
      </c>
      <c r="AF10" s="41"/>
      <c r="AG10" s="69">
        <v>591502.72432978498</v>
      </c>
      <c r="AH10" s="69">
        <f t="shared" si="8"/>
        <v>751779.84650000022</v>
      </c>
      <c r="AI10" s="74">
        <f t="shared" si="9"/>
        <v>-160277.12217021524</v>
      </c>
      <c r="AJ10" s="42">
        <f t="shared" si="10"/>
        <v>0.78680311408133075</v>
      </c>
      <c r="AK10" s="4"/>
    </row>
    <row r="11" spans="1:37" s="3" customFormat="1" x14ac:dyDescent="0.25">
      <c r="A11" s="43" t="s">
        <v>31</v>
      </c>
      <c r="B11" s="37">
        <v>704781.47250290739</v>
      </c>
      <c r="C11" s="37">
        <v>201198.13182250879</v>
      </c>
      <c r="D11" s="37">
        <v>1377174.4110622534</v>
      </c>
      <c r="E11" s="37">
        <v>318766.36745833897</v>
      </c>
      <c r="F11" s="37">
        <v>502632.39198731509</v>
      </c>
      <c r="G11" s="37">
        <v>0</v>
      </c>
      <c r="H11" s="37">
        <v>82415.743204537896</v>
      </c>
      <c r="I11" s="38"/>
      <c r="J11" s="37">
        <v>0</v>
      </c>
      <c r="K11" s="39">
        <v>49594.827541777289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387601.70189999999</v>
      </c>
      <c r="R11" s="39">
        <v>53531.082799999996</v>
      </c>
      <c r="S11" s="39">
        <v>131270.81</v>
      </c>
      <c r="T11" s="39">
        <v>66529.649999999994</v>
      </c>
      <c r="U11" s="39">
        <v>180357</v>
      </c>
      <c r="V11" s="38"/>
      <c r="W11" s="37">
        <f t="shared" si="12"/>
        <v>3186968.5180378612</v>
      </c>
      <c r="X11" s="37">
        <f t="shared" si="2"/>
        <v>671084.61224177724</v>
      </c>
      <c r="Y11" s="37">
        <f t="shared" si="3"/>
        <v>2515883.9057960841</v>
      </c>
      <c r="Z11" s="40">
        <f t="shared" si="4"/>
        <v>4.7489816632685145</v>
      </c>
      <c r="AA11" s="41"/>
      <c r="AB11" s="69">
        <f t="shared" si="11"/>
        <v>3104552.7748333234</v>
      </c>
      <c r="AC11" s="69">
        <f t="shared" si="5"/>
        <v>671084.61224177724</v>
      </c>
      <c r="AD11" s="69">
        <f t="shared" si="6"/>
        <v>2433468.1625915463</v>
      </c>
      <c r="AE11" s="40">
        <f t="shared" si="7"/>
        <v>4.6261718987453406</v>
      </c>
      <c r="AF11" s="41"/>
      <c r="AG11" s="69">
        <v>905979.60432541615</v>
      </c>
      <c r="AH11" s="69">
        <f t="shared" si="8"/>
        <v>688528.07224177732</v>
      </c>
      <c r="AI11" s="74">
        <f t="shared" si="9"/>
        <v>217451.53208363883</v>
      </c>
      <c r="AJ11" s="42">
        <f t="shared" si="10"/>
        <v>1.3158208660623507</v>
      </c>
      <c r="AK11" s="4"/>
    </row>
    <row r="12" spans="1:37" s="3" customFormat="1" x14ac:dyDescent="0.25">
      <c r="A12" s="43" t="s">
        <v>30</v>
      </c>
      <c r="B12" s="37">
        <v>41614.36365632392</v>
      </c>
      <c r="C12" s="37">
        <v>61273.485685013344</v>
      </c>
      <c r="D12" s="37">
        <v>1971.0376655382988</v>
      </c>
      <c r="E12" s="37">
        <v>2317.1101723101979</v>
      </c>
      <c r="F12" s="37">
        <v>65823.658101175417</v>
      </c>
      <c r="G12" s="37">
        <v>227.92</v>
      </c>
      <c r="H12" s="37">
        <v>5400.2101641888567</v>
      </c>
      <c r="I12" s="38"/>
      <c r="J12" s="37">
        <v>692.8219544092068</v>
      </c>
      <c r="K12" s="39">
        <v>629.91816732711482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493515.35470000014</v>
      </c>
      <c r="R12" s="39">
        <v>65578.7696</v>
      </c>
      <c r="S12" s="39">
        <v>720189.23000000021</v>
      </c>
      <c r="T12" s="39">
        <v>22700.5</v>
      </c>
      <c r="U12" s="39">
        <v>675595.45483870956</v>
      </c>
      <c r="V12" s="38"/>
      <c r="W12" s="37">
        <f t="shared" si="12"/>
        <v>178627.78544455004</v>
      </c>
      <c r="X12" s="37">
        <f t="shared" si="2"/>
        <v>1236012.3192604461</v>
      </c>
      <c r="Y12" s="37">
        <f t="shared" si="3"/>
        <v>-1057384.5338158961</v>
      </c>
      <c r="Z12" s="40">
        <f t="shared" si="4"/>
        <v>0.1445194215794143</v>
      </c>
      <c r="AA12" s="41"/>
      <c r="AB12" s="69">
        <f t="shared" si="11"/>
        <v>172999.65528036118</v>
      </c>
      <c r="AC12" s="69">
        <f t="shared" si="5"/>
        <v>1236012.3192604461</v>
      </c>
      <c r="AD12" s="69">
        <f t="shared" si="6"/>
        <v>-1063012.6639800849</v>
      </c>
      <c r="AE12" s="40">
        <f t="shared" si="7"/>
        <v>0.13996596359482369</v>
      </c>
      <c r="AF12" s="41"/>
      <c r="AG12" s="69">
        <v>102887.84934133726</v>
      </c>
      <c r="AH12" s="69">
        <f t="shared" si="8"/>
        <v>1303306.5944217364</v>
      </c>
      <c r="AI12" s="74">
        <f t="shared" si="9"/>
        <v>-1200418.7450803991</v>
      </c>
      <c r="AJ12" s="42">
        <f t="shared" si="10"/>
        <v>7.8943703485968728E-2</v>
      </c>
      <c r="AK12" s="4"/>
    </row>
    <row r="13" spans="1:37" s="3" customFormat="1" x14ac:dyDescent="0.25">
      <c r="A13" s="43" t="s">
        <v>29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8"/>
      <c r="J13" s="37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18226.3835</v>
      </c>
      <c r="R13" s="39">
        <v>0</v>
      </c>
      <c r="S13" s="39">
        <v>0</v>
      </c>
      <c r="T13" s="39">
        <v>0</v>
      </c>
      <c r="U13" s="39">
        <v>0</v>
      </c>
      <c r="V13" s="38"/>
      <c r="W13" s="37">
        <f t="shared" si="12"/>
        <v>0</v>
      </c>
      <c r="X13" s="37">
        <f t="shared" si="2"/>
        <v>18226.3835</v>
      </c>
      <c r="Y13" s="37">
        <f t="shared" si="3"/>
        <v>-18226.3835</v>
      </c>
      <c r="Z13" s="40">
        <f t="shared" si="4"/>
        <v>0</v>
      </c>
      <c r="AA13" s="41"/>
      <c r="AB13" s="69">
        <f t="shared" si="11"/>
        <v>0</v>
      </c>
      <c r="AC13" s="69">
        <f t="shared" si="5"/>
        <v>18226.3835</v>
      </c>
      <c r="AD13" s="69">
        <f t="shared" si="6"/>
        <v>-18226.3835</v>
      </c>
      <c r="AE13" s="40">
        <f t="shared" si="7"/>
        <v>0</v>
      </c>
      <c r="AF13" s="41"/>
      <c r="AG13" s="69">
        <v>0</v>
      </c>
      <c r="AH13" s="69">
        <f t="shared" si="8"/>
        <v>18226.3835</v>
      </c>
      <c r="AI13" s="74">
        <f t="shared" si="9"/>
        <v>-18226.3835</v>
      </c>
      <c r="AJ13" s="42">
        <f t="shared" si="10"/>
        <v>0</v>
      </c>
      <c r="AK13" s="4"/>
    </row>
    <row r="14" spans="1:37" s="3" customFormat="1" x14ac:dyDescent="0.25">
      <c r="A14" s="43" t="s">
        <v>28</v>
      </c>
      <c r="B14" s="37">
        <v>333817.46210158814</v>
      </c>
      <c r="C14" s="37">
        <v>324497.23245614645</v>
      </c>
      <c r="D14" s="37">
        <v>133877.64456182549</v>
      </c>
      <c r="E14" s="37">
        <v>50631.850342083373</v>
      </c>
      <c r="F14" s="37">
        <v>450068.12979504821</v>
      </c>
      <c r="G14" s="37">
        <v>1628</v>
      </c>
      <c r="H14" s="37">
        <v>44971.906730087343</v>
      </c>
      <c r="I14" s="38"/>
      <c r="J14" s="37">
        <v>0</v>
      </c>
      <c r="K14" s="39">
        <v>8731.4810923578225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716925.08040000009</v>
      </c>
      <c r="R14" s="39">
        <v>115746.53210000004</v>
      </c>
      <c r="S14" s="39">
        <v>864248.00000000012</v>
      </c>
      <c r="T14" s="39">
        <v>281365.81</v>
      </c>
      <c r="U14" s="39">
        <v>1008535.81</v>
      </c>
      <c r="V14" s="38"/>
      <c r="W14" s="37">
        <f t="shared" si="12"/>
        <v>1339492.225986779</v>
      </c>
      <c r="X14" s="37">
        <f t="shared" si="2"/>
        <v>1849938.9035923579</v>
      </c>
      <c r="Y14" s="37">
        <f t="shared" si="3"/>
        <v>-510446.67760557891</v>
      </c>
      <c r="Z14" s="40">
        <f t="shared" si="4"/>
        <v>0.72407376448251715</v>
      </c>
      <c r="AA14" s="41"/>
      <c r="AB14" s="69">
        <f t="shared" si="11"/>
        <v>1292892.3192566917</v>
      </c>
      <c r="AC14" s="69">
        <f t="shared" si="5"/>
        <v>1849938.9035923579</v>
      </c>
      <c r="AD14" s="69">
        <f t="shared" si="6"/>
        <v>-557046.58433566615</v>
      </c>
      <c r="AE14" s="40">
        <f t="shared" si="7"/>
        <v>0.69888379380856902</v>
      </c>
      <c r="AF14" s="41"/>
      <c r="AG14" s="69">
        <v>658314.69455773453</v>
      </c>
      <c r="AH14" s="69">
        <f t="shared" si="8"/>
        <v>1987016.9035923581</v>
      </c>
      <c r="AI14" s="74">
        <f t="shared" si="9"/>
        <v>-1328702.2090346236</v>
      </c>
      <c r="AJ14" s="42">
        <f t="shared" si="10"/>
        <v>0.3313080494522001</v>
      </c>
      <c r="AK14" s="4"/>
    </row>
    <row r="15" spans="1:37" s="3" customFormat="1" x14ac:dyDescent="0.25">
      <c r="A15" s="43" t="s">
        <v>27</v>
      </c>
      <c r="B15" s="37">
        <v>3276.7045800563101</v>
      </c>
      <c r="C15" s="37">
        <v>336320.18086497713</v>
      </c>
      <c r="D15" s="37">
        <v>0</v>
      </c>
      <c r="E15" s="37">
        <v>0</v>
      </c>
      <c r="F15" s="37">
        <v>15299.486832273988</v>
      </c>
      <c r="G15" s="37">
        <v>179.08</v>
      </c>
      <c r="H15" s="37">
        <v>293.4845078732738</v>
      </c>
      <c r="I15" s="38"/>
      <c r="J15" s="37">
        <v>44609.059503128286</v>
      </c>
      <c r="K15" s="39">
        <v>0</v>
      </c>
      <c r="L15" s="39">
        <v>0</v>
      </c>
      <c r="M15" s="39">
        <v>0</v>
      </c>
      <c r="N15" s="39">
        <v>50.80105779346394</v>
      </c>
      <c r="O15" s="39">
        <v>0</v>
      </c>
      <c r="P15" s="39">
        <v>6283.5154127200449</v>
      </c>
      <c r="Q15" s="39">
        <v>367453.78599999985</v>
      </c>
      <c r="R15" s="39">
        <v>0</v>
      </c>
      <c r="S15" s="39">
        <v>257760.15</v>
      </c>
      <c r="T15" s="39">
        <v>0</v>
      </c>
      <c r="U15" s="39">
        <v>251973.22999999998</v>
      </c>
      <c r="V15" s="38"/>
      <c r="W15" s="37">
        <f t="shared" si="12"/>
        <v>355368.9367851807</v>
      </c>
      <c r="X15" s="37">
        <f t="shared" si="2"/>
        <v>670370.39197364158</v>
      </c>
      <c r="Y15" s="37">
        <f t="shared" si="3"/>
        <v>-315001.45518846088</v>
      </c>
      <c r="Z15" s="40">
        <f t="shared" si="4"/>
        <v>0.53010834165712006</v>
      </c>
      <c r="AA15" s="41"/>
      <c r="AB15" s="69">
        <f t="shared" si="11"/>
        <v>354896.37227730744</v>
      </c>
      <c r="AC15" s="69">
        <f t="shared" si="5"/>
        <v>664086.87656092155</v>
      </c>
      <c r="AD15" s="69">
        <f t="shared" si="6"/>
        <v>-309190.50428361411</v>
      </c>
      <c r="AE15" s="40">
        <f t="shared" si="7"/>
        <v>0.53441256679426374</v>
      </c>
      <c r="AF15" s="41"/>
      <c r="AG15" s="69">
        <v>6617.7310104412027</v>
      </c>
      <c r="AH15" s="69">
        <f t="shared" si="8"/>
        <v>669822.99550312816</v>
      </c>
      <c r="AI15" s="74">
        <f t="shared" si="9"/>
        <v>-663205.26449268695</v>
      </c>
      <c r="AJ15" s="42">
        <f t="shared" si="10"/>
        <v>9.8798205718070142E-3</v>
      </c>
      <c r="AK15" s="4"/>
    </row>
    <row r="16" spans="1:37" s="3" customFormat="1" x14ac:dyDescent="0.25">
      <c r="A16" s="43" t="s">
        <v>26</v>
      </c>
      <c r="B16" s="37">
        <v>482105.83414441714</v>
      </c>
      <c r="C16" s="37">
        <v>81825.973300651065</v>
      </c>
      <c r="D16" s="37">
        <v>349763.08831227018</v>
      </c>
      <c r="E16" s="37">
        <v>48258.708701178977</v>
      </c>
      <c r="F16" s="37">
        <v>591547.29817053839</v>
      </c>
      <c r="G16" s="37">
        <v>0</v>
      </c>
      <c r="H16" s="37">
        <v>86216.633004169693</v>
      </c>
      <c r="I16" s="38"/>
      <c r="J16" s="37">
        <v>0</v>
      </c>
      <c r="K16" s="39">
        <v>2861.8571660842181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650056.3544999999</v>
      </c>
      <c r="R16" s="39">
        <v>72676.81</v>
      </c>
      <c r="S16" s="39">
        <v>1014760.77</v>
      </c>
      <c r="T16" s="39">
        <v>68498.13</v>
      </c>
      <c r="U16" s="39">
        <v>1052447.4400000002</v>
      </c>
      <c r="V16" s="38"/>
      <c r="W16" s="37">
        <f t="shared" si="12"/>
        <v>1639717.5356332252</v>
      </c>
      <c r="X16" s="37">
        <f t="shared" si="2"/>
        <v>1778042.4616660844</v>
      </c>
      <c r="Y16" s="37">
        <f t="shared" si="3"/>
        <v>-138324.92603285913</v>
      </c>
      <c r="Z16" s="40">
        <f t="shared" si="4"/>
        <v>0.92220381176766497</v>
      </c>
      <c r="AA16" s="41"/>
      <c r="AB16" s="69">
        <f t="shared" si="11"/>
        <v>1553500.9026290555</v>
      </c>
      <c r="AC16" s="69">
        <f t="shared" si="5"/>
        <v>1778042.4616660844</v>
      </c>
      <c r="AD16" s="69">
        <f t="shared" si="6"/>
        <v>-224541.55903702881</v>
      </c>
      <c r="AE16" s="40">
        <f t="shared" si="7"/>
        <v>0.87371417506721072</v>
      </c>
      <c r="AF16" s="41"/>
      <c r="AG16" s="69">
        <v>563931.80744506815</v>
      </c>
      <c r="AH16" s="69">
        <f t="shared" si="8"/>
        <v>1808853.9216660841</v>
      </c>
      <c r="AI16" s="74">
        <f t="shared" si="9"/>
        <v>-1244922.1142210159</v>
      </c>
      <c r="AJ16" s="42">
        <f t="shared" si="10"/>
        <v>0.31176193980641981</v>
      </c>
      <c r="AK16" s="4"/>
    </row>
    <row r="17" spans="1:37" s="3" customFormat="1" x14ac:dyDescent="0.25">
      <c r="A17" s="43" t="s">
        <v>25</v>
      </c>
      <c r="B17" s="37">
        <v>1100688.7784955807</v>
      </c>
      <c r="C17" s="37">
        <v>75186.282389890664</v>
      </c>
      <c r="D17" s="37">
        <v>678434.30508105445</v>
      </c>
      <c r="E17" s="37">
        <v>0</v>
      </c>
      <c r="F17" s="37">
        <v>679500.94141725358</v>
      </c>
      <c r="G17" s="37">
        <v>0</v>
      </c>
      <c r="H17" s="37">
        <v>113692.56503777634</v>
      </c>
      <c r="I17" s="38"/>
      <c r="J17" s="37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179285.41160000002</v>
      </c>
      <c r="R17" s="39">
        <v>10589.99</v>
      </c>
      <c r="S17" s="39">
        <v>439338.95000000007</v>
      </c>
      <c r="T17" s="39">
        <v>33741.980000000003</v>
      </c>
      <c r="U17" s="39">
        <v>352551.7312859603</v>
      </c>
      <c r="V17" s="38"/>
      <c r="W17" s="37">
        <f t="shared" si="12"/>
        <v>2647502.8724215557</v>
      </c>
      <c r="X17" s="37">
        <f t="shared" si="2"/>
        <v>542427.13288596028</v>
      </c>
      <c r="Y17" s="39">
        <f t="shared" si="3"/>
        <v>2105075.7395355953</v>
      </c>
      <c r="Z17" s="40">
        <f t="shared" si="4"/>
        <v>4.8808452083427873</v>
      </c>
      <c r="AA17" s="41"/>
      <c r="AB17" s="69">
        <f t="shared" si="11"/>
        <v>2533810.3073837794</v>
      </c>
      <c r="AC17" s="69">
        <f t="shared" si="5"/>
        <v>542427.13288596028</v>
      </c>
      <c r="AD17" s="69">
        <f t="shared" si="6"/>
        <v>1991383.174497819</v>
      </c>
      <c r="AE17" s="40">
        <f t="shared" si="7"/>
        <v>4.6712455070282903</v>
      </c>
      <c r="AF17" s="41"/>
      <c r="AG17" s="69">
        <v>1175875.0608854713</v>
      </c>
      <c r="AH17" s="69">
        <f t="shared" si="8"/>
        <v>662956.33160000003</v>
      </c>
      <c r="AI17" s="74">
        <f t="shared" si="9"/>
        <v>512918.72928547126</v>
      </c>
      <c r="AJ17" s="42">
        <f t="shared" si="10"/>
        <v>1.7736840344334246</v>
      </c>
      <c r="AK17" s="4"/>
    </row>
    <row r="18" spans="1:37" s="3" customFormat="1" x14ac:dyDescent="0.25">
      <c r="A18" s="43" t="s">
        <v>24</v>
      </c>
      <c r="B18" s="37">
        <v>220877.29436024692</v>
      </c>
      <c r="C18" s="37">
        <v>205130.61387765702</v>
      </c>
      <c r="D18" s="37">
        <v>0</v>
      </c>
      <c r="E18" s="37">
        <v>0</v>
      </c>
      <c r="F18" s="37">
        <v>254793.26098844819</v>
      </c>
      <c r="G18" s="37">
        <v>0</v>
      </c>
      <c r="H18" s="37">
        <v>19639.334910611986</v>
      </c>
      <c r="I18" s="38"/>
      <c r="J18" s="37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199297.81270000001</v>
      </c>
      <c r="R18" s="39">
        <v>49591.705699999999</v>
      </c>
      <c r="S18" s="39">
        <v>164001.83999999997</v>
      </c>
      <c r="T18" s="39">
        <v>209290.75999999995</v>
      </c>
      <c r="U18" s="39">
        <v>315774.21095787064</v>
      </c>
      <c r="V18" s="38"/>
      <c r="W18" s="37">
        <f t="shared" si="12"/>
        <v>700440.5041369641</v>
      </c>
      <c r="X18" s="37">
        <f t="shared" si="2"/>
        <v>564663.72935787076</v>
      </c>
      <c r="Y18" s="39">
        <f t="shared" si="3"/>
        <v>135776.77477909334</v>
      </c>
      <c r="Z18" s="40">
        <f t="shared" si="4"/>
        <v>1.2404559877318437</v>
      </c>
      <c r="AA18" s="41"/>
      <c r="AB18" s="69">
        <f t="shared" si="11"/>
        <v>680801.16922635213</v>
      </c>
      <c r="AC18" s="69">
        <f t="shared" si="5"/>
        <v>564663.72935787076</v>
      </c>
      <c r="AD18" s="69">
        <f t="shared" si="6"/>
        <v>116137.43986848136</v>
      </c>
      <c r="AE18" s="40">
        <f t="shared" si="7"/>
        <v>1.2056754025985545</v>
      </c>
      <c r="AF18" s="41"/>
      <c r="AG18" s="69">
        <v>418431.12387619639</v>
      </c>
      <c r="AH18" s="69">
        <f t="shared" si="8"/>
        <v>622182.11839999992</v>
      </c>
      <c r="AI18" s="74">
        <f t="shared" si="9"/>
        <v>-203750.99452380353</v>
      </c>
      <c r="AJ18" s="42">
        <f t="shared" si="10"/>
        <v>0.67252193771211477</v>
      </c>
      <c r="AK18" s="4"/>
    </row>
    <row r="19" spans="1:37" s="3" customFormat="1" x14ac:dyDescent="0.25">
      <c r="A19" s="43" t="s">
        <v>23</v>
      </c>
      <c r="B19" s="37">
        <v>6777231.9345657043</v>
      </c>
      <c r="C19" s="37">
        <v>2156138.5960401623</v>
      </c>
      <c r="D19" s="37">
        <v>0</v>
      </c>
      <c r="E19" s="37">
        <v>0</v>
      </c>
      <c r="F19" s="37">
        <v>4921638.6414798116</v>
      </c>
      <c r="G19" s="37">
        <v>0</v>
      </c>
      <c r="H19" s="37">
        <v>590960.94987875537</v>
      </c>
      <c r="I19" s="38"/>
      <c r="J19" s="37">
        <v>0</v>
      </c>
      <c r="K19" s="39">
        <v>1045.5746748621832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1335150.5537000003</v>
      </c>
      <c r="R19" s="39">
        <v>79399.030399999989</v>
      </c>
      <c r="S19" s="39">
        <v>3304323.75</v>
      </c>
      <c r="T19" s="39">
        <v>575526.26</v>
      </c>
      <c r="U19" s="39">
        <v>6792999.7410197817</v>
      </c>
      <c r="V19" s="38"/>
      <c r="W19" s="37">
        <f t="shared" si="12"/>
        <v>14445970.121964436</v>
      </c>
      <c r="X19" s="37">
        <f t="shared" si="2"/>
        <v>8208594.8997946437</v>
      </c>
      <c r="Y19" s="39">
        <f t="shared" si="3"/>
        <v>6237375.2221697923</v>
      </c>
      <c r="Z19" s="40">
        <f t="shared" si="4"/>
        <v>1.7598590621551848</v>
      </c>
      <c r="AA19" s="41"/>
      <c r="AB19" s="69">
        <f t="shared" si="11"/>
        <v>13855009.17208568</v>
      </c>
      <c r="AC19" s="69">
        <f t="shared" si="5"/>
        <v>8208594.8997946437</v>
      </c>
      <c r="AD19" s="69">
        <f t="shared" si="6"/>
        <v>5646414.2722910363</v>
      </c>
      <c r="AE19" s="40">
        <f t="shared" si="7"/>
        <v>1.6878661136551267</v>
      </c>
      <c r="AF19" s="41"/>
      <c r="AG19" s="69">
        <v>8933370.5306058675</v>
      </c>
      <c r="AH19" s="69">
        <f t="shared" si="8"/>
        <v>5295445.1687748628</v>
      </c>
      <c r="AI19" s="74">
        <f t="shared" si="9"/>
        <v>3637925.3618310047</v>
      </c>
      <c r="AJ19" s="42">
        <f t="shared" si="10"/>
        <v>1.6869914135420392</v>
      </c>
      <c r="AK19" s="4"/>
    </row>
    <row r="20" spans="1:37" s="3" customFormat="1" x14ac:dyDescent="0.25">
      <c r="A20" s="43" t="s">
        <v>22</v>
      </c>
      <c r="B20" s="37">
        <v>4017189.886185559</v>
      </c>
      <c r="C20" s="37">
        <v>827984.78228947963</v>
      </c>
      <c r="D20" s="37">
        <v>9069280.0312759522</v>
      </c>
      <c r="E20" s="37">
        <v>1362515.4397571257</v>
      </c>
      <c r="F20" s="37">
        <v>2695622.375466635</v>
      </c>
      <c r="G20" s="37">
        <v>0</v>
      </c>
      <c r="H20" s="37">
        <v>434809.42362883716</v>
      </c>
      <c r="I20" s="38"/>
      <c r="J20" s="37">
        <v>0</v>
      </c>
      <c r="K20" s="39">
        <v>143536.56768271903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93942.301100000055</v>
      </c>
      <c r="R20" s="39">
        <v>12666.18</v>
      </c>
      <c r="S20" s="39">
        <v>106036.62</v>
      </c>
      <c r="T20" s="39">
        <v>20047.38</v>
      </c>
      <c r="U20" s="39">
        <v>643626</v>
      </c>
      <c r="V20" s="38"/>
      <c r="W20" s="37">
        <f t="shared" si="12"/>
        <v>18407401.938603587</v>
      </c>
      <c r="X20" s="37">
        <f t="shared" si="2"/>
        <v>893771.04878271907</v>
      </c>
      <c r="Y20" s="39">
        <f t="shared" si="3"/>
        <v>17513630.88982087</v>
      </c>
      <c r="Z20" s="40">
        <f t="shared" si="4"/>
        <v>20.59520943721968</v>
      </c>
      <c r="AA20" s="41"/>
      <c r="AB20" s="69">
        <f t="shared" si="11"/>
        <v>17972592.514974751</v>
      </c>
      <c r="AC20" s="69">
        <f t="shared" si="5"/>
        <v>893771.04878271907</v>
      </c>
      <c r="AD20" s="69">
        <f t="shared" si="6"/>
        <v>17078821.466192033</v>
      </c>
      <c r="AE20" s="40">
        <f t="shared" si="7"/>
        <v>20.108720840144368</v>
      </c>
      <c r="AF20" s="41"/>
      <c r="AG20" s="69">
        <v>4845174.6684750384</v>
      </c>
      <c r="AH20" s="69">
        <f t="shared" si="8"/>
        <v>376229.04878271907</v>
      </c>
      <c r="AI20" s="74">
        <f t="shared" si="9"/>
        <v>4468945.6196923191</v>
      </c>
      <c r="AJ20" s="42">
        <f t="shared" si="10"/>
        <v>12.878257763858203</v>
      </c>
      <c r="AK20" s="4"/>
    </row>
    <row r="21" spans="1:37" s="3" customFormat="1" x14ac:dyDescent="0.25">
      <c r="A21" s="44" t="s">
        <v>21</v>
      </c>
      <c r="B21" s="37">
        <v>604109.04527577071</v>
      </c>
      <c r="C21" s="37">
        <v>120838.80274572437</v>
      </c>
      <c r="D21" s="37">
        <v>869651.42848667048</v>
      </c>
      <c r="E21" s="37">
        <v>237911.61913794375</v>
      </c>
      <c r="F21" s="37">
        <v>404540.67291842517</v>
      </c>
      <c r="G21" s="37">
        <v>0</v>
      </c>
      <c r="H21" s="37">
        <v>63934.872844611244</v>
      </c>
      <c r="I21" s="38"/>
      <c r="J21" s="37">
        <v>0</v>
      </c>
      <c r="K21" s="39">
        <v>29229.709858612616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320567.69369999936</v>
      </c>
      <c r="R21" s="39">
        <v>39811.160000000003</v>
      </c>
      <c r="S21" s="39">
        <v>583708.9</v>
      </c>
      <c r="T21" s="39">
        <v>111108.32</v>
      </c>
      <c r="U21" s="39">
        <v>113386.56</v>
      </c>
      <c r="V21" s="38"/>
      <c r="W21" s="37">
        <f t="shared" si="12"/>
        <v>2300986.4414091455</v>
      </c>
      <c r="X21" s="37">
        <f t="shared" si="2"/>
        <v>502995.12355861207</v>
      </c>
      <c r="Y21" s="39">
        <f t="shared" si="3"/>
        <v>1797991.3178505334</v>
      </c>
      <c r="Z21" s="40">
        <f t="shared" si="4"/>
        <v>4.5745700775984171</v>
      </c>
      <c r="AA21" s="41"/>
      <c r="AB21" s="69">
        <f t="shared" si="11"/>
        <v>2237051.5685645342</v>
      </c>
      <c r="AC21" s="69">
        <f t="shared" si="5"/>
        <v>502995.12355861207</v>
      </c>
      <c r="AD21" s="69">
        <f t="shared" si="6"/>
        <v>1734056.4450059221</v>
      </c>
      <c r="AE21" s="40">
        <f t="shared" si="7"/>
        <v>4.4474617422485991</v>
      </c>
      <c r="AF21" s="41"/>
      <c r="AG21" s="69">
        <v>724947.84802149504</v>
      </c>
      <c r="AH21" s="69">
        <f t="shared" si="8"/>
        <v>1084425.783558612</v>
      </c>
      <c r="AI21" s="74">
        <f t="shared" si="9"/>
        <v>-359477.93553711695</v>
      </c>
      <c r="AJ21" s="42">
        <f t="shared" si="10"/>
        <v>0.6685084945532489</v>
      </c>
      <c r="AK21" s="4"/>
    </row>
    <row r="22" spans="1:37" s="3" customFormat="1" x14ac:dyDescent="0.25">
      <c r="A22" s="44" t="s">
        <v>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8"/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9">
        <v>129360</v>
      </c>
      <c r="R22" s="39">
        <v>17640</v>
      </c>
      <c r="S22" s="39">
        <v>0</v>
      </c>
      <c r="T22" s="39">
        <v>0</v>
      </c>
      <c r="U22" s="39">
        <v>0</v>
      </c>
      <c r="V22" s="38"/>
      <c r="W22" s="37">
        <f t="shared" si="12"/>
        <v>0</v>
      </c>
      <c r="X22" s="37">
        <f t="shared" si="2"/>
        <v>147000</v>
      </c>
      <c r="Y22" s="37">
        <f t="shared" si="3"/>
        <v>-147000</v>
      </c>
      <c r="Z22" s="40">
        <f t="shared" si="4"/>
        <v>0</v>
      </c>
      <c r="AA22" s="41"/>
      <c r="AB22" s="69">
        <f t="shared" si="11"/>
        <v>0</v>
      </c>
      <c r="AC22" s="69">
        <f t="shared" si="5"/>
        <v>147000</v>
      </c>
      <c r="AD22" s="69">
        <f t="shared" si="6"/>
        <v>-147000</v>
      </c>
      <c r="AE22" s="40">
        <f t="shared" si="7"/>
        <v>0</v>
      </c>
      <c r="AF22" s="41"/>
      <c r="AG22" s="69">
        <v>0</v>
      </c>
      <c r="AH22" s="69">
        <f t="shared" si="8"/>
        <v>147000</v>
      </c>
      <c r="AI22" s="74">
        <f t="shared" si="9"/>
        <v>-147000</v>
      </c>
      <c r="AJ22" s="42">
        <f t="shared" si="10"/>
        <v>0</v>
      </c>
      <c r="AK22" s="4"/>
    </row>
    <row r="23" spans="1:37" s="3" customFormat="1" ht="15.75" thickBot="1" x14ac:dyDescent="0.3">
      <c r="A23" s="44" t="s">
        <v>20</v>
      </c>
      <c r="B23" s="37">
        <v>578333.87469736184</v>
      </c>
      <c r="C23" s="37">
        <v>296639.1130071826</v>
      </c>
      <c r="D23" s="37">
        <v>0</v>
      </c>
      <c r="E23" s="37">
        <v>0</v>
      </c>
      <c r="F23" s="37">
        <v>517264.41176351055</v>
      </c>
      <c r="G23" s="37">
        <v>0</v>
      </c>
      <c r="H23" s="37">
        <v>64485.234220111146</v>
      </c>
      <c r="I23" s="38"/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8"/>
      <c r="W23" s="73">
        <f t="shared" si="12"/>
        <v>1456722.633688166</v>
      </c>
      <c r="X23" s="73">
        <f t="shared" si="2"/>
        <v>0</v>
      </c>
      <c r="Y23" s="45">
        <f t="shared" si="3"/>
        <v>1456722.633688166</v>
      </c>
      <c r="Z23" s="46" t="s">
        <v>1</v>
      </c>
      <c r="AA23" s="41"/>
      <c r="AB23" s="70">
        <f t="shared" si="11"/>
        <v>1392237.399468055</v>
      </c>
      <c r="AC23" s="70">
        <f t="shared" si="5"/>
        <v>0</v>
      </c>
      <c r="AD23" s="70">
        <f t="shared" si="6"/>
        <v>1392237.399468055</v>
      </c>
      <c r="AE23" s="47" t="s">
        <v>1</v>
      </c>
      <c r="AF23" s="41"/>
      <c r="AG23" s="70">
        <v>874972.98770454444</v>
      </c>
      <c r="AH23" s="70">
        <f t="shared" si="8"/>
        <v>0</v>
      </c>
      <c r="AI23" s="70">
        <f t="shared" si="9"/>
        <v>874972.98770454444</v>
      </c>
      <c r="AJ23" s="47" t="s">
        <v>1</v>
      </c>
      <c r="AK23" s="4"/>
    </row>
    <row r="24" spans="1:37" x14ac:dyDescent="0.25">
      <c r="A24" s="48" t="s">
        <v>19</v>
      </c>
      <c r="B24" s="49">
        <f>SUM(B25:B35)</f>
        <v>117405324.20776772</v>
      </c>
      <c r="C24" s="49">
        <f t="shared" ref="C24:H24" si="13">SUM(C25:C35)</f>
        <v>89733057.160842672</v>
      </c>
      <c r="D24" s="49">
        <f t="shared" si="13"/>
        <v>699829.80693586485</v>
      </c>
      <c r="E24" s="49">
        <f t="shared" si="13"/>
        <v>22993996.765920959</v>
      </c>
      <c r="F24" s="49">
        <f t="shared" si="13"/>
        <v>86810131.330916628</v>
      </c>
      <c r="G24" s="49">
        <f t="shared" si="13"/>
        <v>0</v>
      </c>
      <c r="H24" s="49">
        <f t="shared" si="13"/>
        <v>11428857.183360767</v>
      </c>
      <c r="I24" s="32"/>
      <c r="J24" s="49">
        <f>SUM(J25:J35)</f>
        <v>1392709.1296974395</v>
      </c>
      <c r="K24" s="49">
        <f t="shared" ref="K24:U24" si="14">SUM(K25:K35)</f>
        <v>4698779.2103553172</v>
      </c>
      <c r="L24" s="49">
        <f t="shared" si="14"/>
        <v>0</v>
      </c>
      <c r="M24" s="49">
        <f t="shared" si="14"/>
        <v>0</v>
      </c>
      <c r="N24" s="49">
        <f t="shared" si="14"/>
        <v>127.06372602812638</v>
      </c>
      <c r="O24" s="49">
        <v>0</v>
      </c>
      <c r="P24" s="49">
        <f t="shared" si="14"/>
        <v>21.579348329323249</v>
      </c>
      <c r="Q24" s="49">
        <f t="shared" si="14"/>
        <v>17459886.927500002</v>
      </c>
      <c r="R24" s="49">
        <f t="shared" si="14"/>
        <v>2193034.4783722102</v>
      </c>
      <c r="S24" s="49">
        <f t="shared" si="14"/>
        <v>29868184.920000002</v>
      </c>
      <c r="T24" s="49">
        <f t="shared" si="14"/>
        <v>3065557.6699999995</v>
      </c>
      <c r="U24" s="49">
        <f t="shared" si="14"/>
        <v>63051722.016229711</v>
      </c>
      <c r="V24" s="38"/>
      <c r="W24" s="50">
        <f t="shared" ref="W24:W42" si="15">SUM(B24:H24)</f>
        <v>329071196.45574462</v>
      </c>
      <c r="X24" s="50">
        <f t="shared" si="2"/>
        <v>88796280.405229032</v>
      </c>
      <c r="Y24" s="49">
        <f t="shared" si="3"/>
        <v>240274916.05051559</v>
      </c>
      <c r="Z24" s="51">
        <f t="shared" ref="Z24:Z35" si="16">W24/X24</f>
        <v>3.7059119475951192</v>
      </c>
      <c r="AA24" s="34"/>
      <c r="AB24" s="71">
        <f t="shared" ref="AB24:AB42" si="17">B24+C24+D24+E24+F24</f>
        <v>317642339.27238387</v>
      </c>
      <c r="AC24" s="71">
        <f t="shared" si="5"/>
        <v>88796258.825880706</v>
      </c>
      <c r="AD24" s="71">
        <f t="shared" si="6"/>
        <v>228846080.44650316</v>
      </c>
      <c r="AE24" s="35">
        <f t="shared" ref="AE24:AE35" si="18">AB24/AC24</f>
        <v>3.5772040790056718</v>
      </c>
      <c r="AF24" s="34"/>
      <c r="AG24" s="75">
        <v>135435751.19716617</v>
      </c>
      <c r="AH24" s="71">
        <f t="shared" si="8"/>
        <v>58678152.335924976</v>
      </c>
      <c r="AI24" s="71">
        <f t="shared" si="9"/>
        <v>76757598.861241192</v>
      </c>
      <c r="AJ24" s="35">
        <f t="shared" ref="AJ24:AJ35" si="19">AG24/AH24</f>
        <v>2.3081120622512734</v>
      </c>
      <c r="AK24" s="5"/>
    </row>
    <row r="25" spans="1:37" s="3" customFormat="1" x14ac:dyDescent="0.25">
      <c r="A25" s="43" t="s">
        <v>18</v>
      </c>
      <c r="B25" s="39">
        <v>41222786.700057194</v>
      </c>
      <c r="C25" s="39">
        <v>4969727.5337149557</v>
      </c>
      <c r="D25" s="37">
        <v>549368.15461475367</v>
      </c>
      <c r="E25" s="39">
        <v>4500226.3336130846</v>
      </c>
      <c r="F25" s="37">
        <v>23076263.507832125</v>
      </c>
      <c r="G25" s="37">
        <v>0</v>
      </c>
      <c r="H25" s="37">
        <v>3617999.4763622913</v>
      </c>
      <c r="I25" s="38"/>
      <c r="J25" s="37">
        <v>3175.7210058653691</v>
      </c>
      <c r="K25" s="37">
        <v>1049431.449993033</v>
      </c>
      <c r="L25" s="37">
        <v>0</v>
      </c>
      <c r="M25" s="37">
        <v>0</v>
      </c>
      <c r="N25" s="37">
        <v>104.21272996047477</v>
      </c>
      <c r="O25" s="37">
        <v>0</v>
      </c>
      <c r="P25" s="37">
        <v>17.945356742208972</v>
      </c>
      <c r="Q25" s="37">
        <v>4349705.9777000006</v>
      </c>
      <c r="R25" s="37">
        <v>1132002.1729000001</v>
      </c>
      <c r="S25" s="37">
        <v>8689244.6400000006</v>
      </c>
      <c r="T25" s="37">
        <v>1368605.4799999995</v>
      </c>
      <c r="U25" s="39">
        <v>11681078.808466287</v>
      </c>
      <c r="V25" s="38"/>
      <c r="W25" s="37">
        <f t="shared" si="15"/>
        <v>77936371.706194401</v>
      </c>
      <c r="X25" s="37">
        <f t="shared" si="2"/>
        <v>18215516.288151886</v>
      </c>
      <c r="Y25" s="37">
        <f t="shared" si="3"/>
        <v>59720855.418042511</v>
      </c>
      <c r="Z25" s="40">
        <f t="shared" si="16"/>
        <v>4.278570558929883</v>
      </c>
      <c r="AA25" s="41"/>
      <c r="AB25" s="69">
        <f t="shared" si="17"/>
        <v>74318372.229832113</v>
      </c>
      <c r="AC25" s="69">
        <f t="shared" si="5"/>
        <v>18215498.342795145</v>
      </c>
      <c r="AD25" s="69">
        <f t="shared" si="6"/>
        <v>56102873.887036964</v>
      </c>
      <c r="AE25" s="40">
        <f t="shared" si="18"/>
        <v>4.0799527320770546</v>
      </c>
      <c r="AF25" s="41"/>
      <c r="AG25" s="69">
        <v>46147584.784362182</v>
      </c>
      <c r="AH25" s="69">
        <f t="shared" si="8"/>
        <v>16592165.4415989</v>
      </c>
      <c r="AI25" s="74">
        <f t="shared" si="9"/>
        <v>29555419.342763282</v>
      </c>
      <c r="AJ25" s="42">
        <f t="shared" si="19"/>
        <v>2.7812876472810282</v>
      </c>
      <c r="AK25" s="4"/>
    </row>
    <row r="26" spans="1:37" s="3" customFormat="1" x14ac:dyDescent="0.25">
      <c r="A26" s="43" t="s">
        <v>17</v>
      </c>
      <c r="B26" s="39">
        <v>18312270.924446948</v>
      </c>
      <c r="C26" s="39">
        <v>84250100.003132194</v>
      </c>
      <c r="D26" s="37">
        <v>0</v>
      </c>
      <c r="E26" s="39">
        <v>0</v>
      </c>
      <c r="F26" s="37">
        <v>35104867.825943306</v>
      </c>
      <c r="G26" s="37">
        <v>0</v>
      </c>
      <c r="H26" s="37">
        <v>3032255.7659987737</v>
      </c>
      <c r="I26" s="38"/>
      <c r="J26" s="37">
        <v>1389388.0253473634</v>
      </c>
      <c r="K26" s="37">
        <v>1973.3127572258804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9">
        <v>3415379.1766000008</v>
      </c>
      <c r="R26" s="37">
        <v>607526.65690000029</v>
      </c>
      <c r="S26" s="37">
        <v>7987786.3599999985</v>
      </c>
      <c r="T26" s="37">
        <v>1298408.2100000002</v>
      </c>
      <c r="U26" s="39">
        <v>32171991.988726221</v>
      </c>
      <c r="V26" s="38"/>
      <c r="W26" s="37">
        <f t="shared" si="15"/>
        <v>140699494.51952124</v>
      </c>
      <c r="X26" s="37">
        <f t="shared" si="2"/>
        <v>37586259.16033081</v>
      </c>
      <c r="Y26" s="37">
        <f t="shared" si="3"/>
        <v>103113235.35919043</v>
      </c>
      <c r="Z26" s="40">
        <f t="shared" si="16"/>
        <v>3.7433758416697644</v>
      </c>
      <c r="AA26" s="41"/>
      <c r="AB26" s="69">
        <f t="shared" si="17"/>
        <v>137667238.75352246</v>
      </c>
      <c r="AC26" s="69">
        <f t="shared" si="5"/>
        <v>37586259.16033081</v>
      </c>
      <c r="AD26" s="69">
        <f t="shared" si="6"/>
        <v>100080979.59319165</v>
      </c>
      <c r="AE26" s="40">
        <f t="shared" si="18"/>
        <v>3.6627012591564005</v>
      </c>
      <c r="AF26" s="41"/>
      <c r="AG26" s="69">
        <v>30977288.135980159</v>
      </c>
      <c r="AH26" s="69">
        <f t="shared" si="8"/>
        <v>14700461.741604589</v>
      </c>
      <c r="AI26" s="74">
        <f t="shared" si="9"/>
        <v>16276826.39437557</v>
      </c>
      <c r="AJ26" s="42">
        <f t="shared" si="19"/>
        <v>2.1072323223909102</v>
      </c>
      <c r="AK26" s="4"/>
    </row>
    <row r="27" spans="1:37" s="3" customFormat="1" x14ac:dyDescent="0.25">
      <c r="A27" s="43" t="s">
        <v>16</v>
      </c>
      <c r="B27" s="39">
        <v>27319699.128745534</v>
      </c>
      <c r="C27" s="39">
        <v>0</v>
      </c>
      <c r="D27" s="37">
        <v>0</v>
      </c>
      <c r="E27" s="39">
        <v>13093129.76888662</v>
      </c>
      <c r="F27" s="37">
        <v>10515430.811336797</v>
      </c>
      <c r="G27" s="37">
        <v>0</v>
      </c>
      <c r="H27" s="37">
        <v>1826573.6189455045</v>
      </c>
      <c r="I27" s="38"/>
      <c r="J27" s="37">
        <v>0</v>
      </c>
      <c r="K27" s="37">
        <v>2054253.7596329891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1268142.5099999986</v>
      </c>
      <c r="R27" s="37">
        <v>0</v>
      </c>
      <c r="S27" s="37">
        <v>3916105.3000000003</v>
      </c>
      <c r="T27" s="37">
        <v>0</v>
      </c>
      <c r="U27" s="39">
        <v>13575419.562723044</v>
      </c>
      <c r="V27" s="38"/>
      <c r="W27" s="37">
        <f t="shared" si="15"/>
        <v>52754833.327914454</v>
      </c>
      <c r="X27" s="37">
        <f t="shared" si="2"/>
        <v>16897815.832356032</v>
      </c>
      <c r="Y27" s="37">
        <f t="shared" si="3"/>
        <v>35857017.495558426</v>
      </c>
      <c r="Z27" s="40">
        <f t="shared" si="16"/>
        <v>3.1219912591838765</v>
      </c>
      <c r="AA27" s="41"/>
      <c r="AB27" s="69">
        <f t="shared" si="17"/>
        <v>50928259.708968952</v>
      </c>
      <c r="AC27" s="69">
        <f t="shared" si="5"/>
        <v>16897815.832356032</v>
      </c>
      <c r="AD27" s="69">
        <f t="shared" si="6"/>
        <v>34030443.876612917</v>
      </c>
      <c r="AE27" s="40">
        <f t="shared" si="18"/>
        <v>3.0138960096518059</v>
      </c>
      <c r="AF27" s="41"/>
      <c r="AG27" s="69">
        <v>27319699.128745534</v>
      </c>
      <c r="AH27" s="69">
        <f t="shared" si="8"/>
        <v>7238501.5696329875</v>
      </c>
      <c r="AI27" s="74">
        <f t="shared" si="9"/>
        <v>20081197.559112545</v>
      </c>
      <c r="AJ27" s="42">
        <f t="shared" si="19"/>
        <v>3.7742202396359663</v>
      </c>
      <c r="AK27" s="4"/>
    </row>
    <row r="28" spans="1:37" s="3" customFormat="1" x14ac:dyDescent="0.25">
      <c r="A28" s="43" t="s">
        <v>15</v>
      </c>
      <c r="B28" s="39">
        <v>235585.79676022258</v>
      </c>
      <c r="C28" s="39">
        <v>27040.429881164964</v>
      </c>
      <c r="D28" s="37">
        <v>0</v>
      </c>
      <c r="E28" s="39">
        <v>0</v>
      </c>
      <c r="F28" s="37">
        <v>114998.79959183716</v>
      </c>
      <c r="G28" s="37">
        <v>0</v>
      </c>
      <c r="H28" s="37">
        <v>17369.302554189453</v>
      </c>
      <c r="I28" s="38"/>
      <c r="J28" s="37">
        <v>145.38334421058943</v>
      </c>
      <c r="K28" s="37">
        <v>695.7712994492407</v>
      </c>
      <c r="L28" s="37">
        <v>0</v>
      </c>
      <c r="M28" s="37">
        <v>0</v>
      </c>
      <c r="N28" s="37">
        <v>22.850996067651614</v>
      </c>
      <c r="O28" s="37">
        <v>0</v>
      </c>
      <c r="P28" s="37">
        <v>3.6339915871142776</v>
      </c>
      <c r="Q28" s="37">
        <v>404913.77069999999</v>
      </c>
      <c r="R28" s="37">
        <v>92090.826510184997</v>
      </c>
      <c r="S28" s="37">
        <v>192991.27</v>
      </c>
      <c r="T28" s="37">
        <v>3185</v>
      </c>
      <c r="U28" s="39">
        <v>78340.101668276329</v>
      </c>
      <c r="V28" s="38"/>
      <c r="W28" s="37">
        <f t="shared" si="15"/>
        <v>394994.32878741418</v>
      </c>
      <c r="X28" s="37">
        <f t="shared" si="2"/>
        <v>576212.33850977593</v>
      </c>
      <c r="Y28" s="37">
        <f t="shared" si="3"/>
        <v>-181218.00972236175</v>
      </c>
      <c r="Z28" s="40">
        <f t="shared" si="16"/>
        <v>0.68550133759538157</v>
      </c>
      <c r="AA28" s="41"/>
      <c r="AB28" s="69">
        <f t="shared" si="17"/>
        <v>377625.02623322472</v>
      </c>
      <c r="AC28" s="69">
        <f t="shared" si="5"/>
        <v>576208.70451818884</v>
      </c>
      <c r="AD28" s="69">
        <f t="shared" si="6"/>
        <v>-198583.67828496412</v>
      </c>
      <c r="AE28" s="40">
        <f t="shared" si="18"/>
        <v>0.65536154395478152</v>
      </c>
      <c r="AF28" s="41"/>
      <c r="AG28" s="69">
        <v>262626.22664138756</v>
      </c>
      <c r="AH28" s="69">
        <f t="shared" si="8"/>
        <v>694022.02185384487</v>
      </c>
      <c r="AI28" s="74">
        <f t="shared" si="9"/>
        <v>-431395.79521245731</v>
      </c>
      <c r="AJ28" s="42">
        <f t="shared" si="19"/>
        <v>0.37841195001258104</v>
      </c>
      <c r="AK28" s="4"/>
    </row>
    <row r="29" spans="1:37" s="3" customFormat="1" x14ac:dyDescent="0.25">
      <c r="A29" s="43" t="s">
        <v>14</v>
      </c>
      <c r="B29" s="39">
        <v>241199.12060222455</v>
      </c>
      <c r="C29" s="39">
        <v>259316.51773937655</v>
      </c>
      <c r="D29" s="37">
        <v>150461.65232111121</v>
      </c>
      <c r="E29" s="39">
        <v>0</v>
      </c>
      <c r="F29" s="37">
        <v>361342.01242496446</v>
      </c>
      <c r="G29" s="37">
        <v>0</v>
      </c>
      <c r="H29" s="37">
        <v>41981.895642551935</v>
      </c>
      <c r="I29" s="38"/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136630.73650000006</v>
      </c>
      <c r="R29" s="37">
        <v>26477.747903880005</v>
      </c>
      <c r="S29" s="37">
        <v>71225</v>
      </c>
      <c r="T29" s="37">
        <v>81690</v>
      </c>
      <c r="U29" s="39">
        <v>115767.24306581875</v>
      </c>
      <c r="V29" s="38"/>
      <c r="W29" s="37">
        <f t="shared" si="15"/>
        <v>1054301.1987302287</v>
      </c>
      <c r="X29" s="37">
        <f t="shared" si="2"/>
        <v>278875.72746969882</v>
      </c>
      <c r="Y29" s="37">
        <f t="shared" si="3"/>
        <v>775425.47126052994</v>
      </c>
      <c r="Z29" s="40">
        <f t="shared" si="16"/>
        <v>3.780541276561201</v>
      </c>
      <c r="AA29" s="41"/>
      <c r="AB29" s="69">
        <f t="shared" si="17"/>
        <v>1012319.3030876768</v>
      </c>
      <c r="AC29" s="69">
        <f t="shared" si="5"/>
        <v>278875.72746969882</v>
      </c>
      <c r="AD29" s="69">
        <f t="shared" si="6"/>
        <v>733443.57561797788</v>
      </c>
      <c r="AE29" s="40">
        <f t="shared" si="18"/>
        <v>3.6300014786968871</v>
      </c>
      <c r="AF29" s="41"/>
      <c r="AG29" s="69">
        <v>500515.63834160112</v>
      </c>
      <c r="AH29" s="69">
        <f t="shared" si="8"/>
        <v>316023.48440388008</v>
      </c>
      <c r="AI29" s="74">
        <f t="shared" si="9"/>
        <v>184492.15393772104</v>
      </c>
      <c r="AJ29" s="42">
        <f t="shared" si="19"/>
        <v>1.5837925440437801</v>
      </c>
      <c r="AK29" s="4"/>
    </row>
    <row r="30" spans="1:37" s="3" customFormat="1" x14ac:dyDescent="0.25">
      <c r="A30" s="43" t="s">
        <v>13</v>
      </c>
      <c r="B30" s="39">
        <v>21162343.743349787</v>
      </c>
      <c r="C30" s="39">
        <v>0</v>
      </c>
      <c r="D30" s="37">
        <v>0</v>
      </c>
      <c r="E30" s="39">
        <v>3664596.4650314949</v>
      </c>
      <c r="F30" s="37">
        <v>9594756.7213463131</v>
      </c>
      <c r="G30" s="37">
        <v>0</v>
      </c>
      <c r="H30" s="37">
        <v>1714278.5126428294</v>
      </c>
      <c r="I30" s="38"/>
      <c r="J30" s="37">
        <v>0</v>
      </c>
      <c r="K30" s="37">
        <v>1592424.9166726198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5881755.6711999997</v>
      </c>
      <c r="R30" s="37">
        <v>0</v>
      </c>
      <c r="S30" s="37">
        <v>7735417.4700000007</v>
      </c>
      <c r="T30" s="37">
        <v>0</v>
      </c>
      <c r="U30" s="39">
        <v>3084875.8393383911</v>
      </c>
      <c r="V30" s="38"/>
      <c r="W30" s="37">
        <f t="shared" si="15"/>
        <v>36135975.442370422</v>
      </c>
      <c r="X30" s="37">
        <f t="shared" si="2"/>
        <v>10559056.427211011</v>
      </c>
      <c r="Y30" s="37">
        <f t="shared" si="3"/>
        <v>25576919.015159413</v>
      </c>
      <c r="Z30" s="40">
        <f t="shared" si="16"/>
        <v>3.4222731634662837</v>
      </c>
      <c r="AA30" s="41"/>
      <c r="AB30" s="69">
        <f t="shared" si="17"/>
        <v>34421696.929727592</v>
      </c>
      <c r="AC30" s="69">
        <f t="shared" si="5"/>
        <v>10559056.427211011</v>
      </c>
      <c r="AD30" s="69">
        <f t="shared" si="6"/>
        <v>23862640.502516583</v>
      </c>
      <c r="AE30" s="40">
        <f t="shared" si="18"/>
        <v>3.2599216764314116</v>
      </c>
      <c r="AF30" s="41"/>
      <c r="AG30" s="69">
        <v>21162343.743349787</v>
      </c>
      <c r="AH30" s="69">
        <f t="shared" si="8"/>
        <v>15209598.057872619</v>
      </c>
      <c r="AI30" s="74">
        <f t="shared" si="9"/>
        <v>5952745.6854771674</v>
      </c>
      <c r="AJ30" s="42">
        <f t="shared" si="19"/>
        <v>1.3913808677143822</v>
      </c>
      <c r="AK30" s="4"/>
    </row>
    <row r="31" spans="1:37" s="3" customFormat="1" x14ac:dyDescent="0.25">
      <c r="A31" s="43" t="s">
        <v>12</v>
      </c>
      <c r="B31" s="39">
        <v>429031.16887307342</v>
      </c>
      <c r="C31" s="39">
        <v>226872.67637498138</v>
      </c>
      <c r="D31" s="37">
        <v>0</v>
      </c>
      <c r="E31" s="39">
        <v>0</v>
      </c>
      <c r="F31" s="37">
        <v>273796.184039363</v>
      </c>
      <c r="G31" s="37">
        <v>0</v>
      </c>
      <c r="H31" s="37">
        <v>26467.345766247723</v>
      </c>
      <c r="I31" s="38"/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423989.68929999979</v>
      </c>
      <c r="R31" s="37">
        <v>261202.70405814506</v>
      </c>
      <c r="S31" s="37">
        <v>232737.94</v>
      </c>
      <c r="T31" s="37">
        <v>313668.98</v>
      </c>
      <c r="U31" s="39">
        <v>258780</v>
      </c>
      <c r="V31" s="38"/>
      <c r="W31" s="37">
        <f t="shared" si="15"/>
        <v>956167.3750536656</v>
      </c>
      <c r="X31" s="37">
        <f t="shared" si="2"/>
        <v>943972.39335814491</v>
      </c>
      <c r="Y31" s="37">
        <f t="shared" si="3"/>
        <v>12194.981695520692</v>
      </c>
      <c r="Z31" s="40">
        <f t="shared" si="16"/>
        <v>1.01291879061435</v>
      </c>
      <c r="AA31" s="41"/>
      <c r="AB31" s="69">
        <f t="shared" si="17"/>
        <v>929700.02928741788</v>
      </c>
      <c r="AC31" s="69">
        <f t="shared" si="5"/>
        <v>943972.39335814491</v>
      </c>
      <c r="AD31" s="69">
        <f t="shared" si="6"/>
        <v>-14272.364070727024</v>
      </c>
      <c r="AE31" s="40">
        <f t="shared" si="18"/>
        <v>0.98488052810532556</v>
      </c>
      <c r="AF31" s="41"/>
      <c r="AG31" s="69">
        <v>583285.91481278976</v>
      </c>
      <c r="AH31" s="69">
        <f t="shared" si="8"/>
        <v>1231599.3133581448</v>
      </c>
      <c r="AI31" s="74">
        <f t="shared" si="9"/>
        <v>-648313.39854535507</v>
      </c>
      <c r="AJ31" s="42">
        <f t="shared" si="19"/>
        <v>0.47360038974231894</v>
      </c>
      <c r="AK31" s="4"/>
    </row>
    <row r="32" spans="1:37" s="3" customFormat="1" x14ac:dyDescent="0.25">
      <c r="A32" s="43" t="s">
        <v>11</v>
      </c>
      <c r="B32" s="39">
        <v>1657109.3091018423</v>
      </c>
      <c r="C32" s="39">
        <v>0</v>
      </c>
      <c r="D32" s="37">
        <v>0</v>
      </c>
      <c r="E32" s="39">
        <v>0</v>
      </c>
      <c r="F32" s="37">
        <v>1369124.3803740083</v>
      </c>
      <c r="G32" s="37">
        <v>0</v>
      </c>
      <c r="H32" s="37">
        <v>290450.13954862178</v>
      </c>
      <c r="I32" s="38"/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1229571.4898999999</v>
      </c>
      <c r="R32" s="37">
        <v>41598.610100000005</v>
      </c>
      <c r="S32" s="37">
        <v>142113.98000000001</v>
      </c>
      <c r="T32" s="37">
        <v>0</v>
      </c>
      <c r="U32" s="39">
        <v>188289.85299999997</v>
      </c>
      <c r="V32" s="38"/>
      <c r="W32" s="37">
        <f t="shared" si="15"/>
        <v>3316683.8290244723</v>
      </c>
      <c r="X32" s="37">
        <f t="shared" si="2"/>
        <v>1459459.9529999997</v>
      </c>
      <c r="Y32" s="37">
        <f t="shared" si="3"/>
        <v>1857223.8760244725</v>
      </c>
      <c r="Z32" s="40">
        <f t="shared" si="16"/>
        <v>2.2725418550929386</v>
      </c>
      <c r="AA32" s="41"/>
      <c r="AB32" s="69">
        <f t="shared" si="17"/>
        <v>3026233.6894758507</v>
      </c>
      <c r="AC32" s="69">
        <f t="shared" si="5"/>
        <v>1459459.9529999997</v>
      </c>
      <c r="AD32" s="69">
        <f t="shared" si="6"/>
        <v>1566773.7364758509</v>
      </c>
      <c r="AE32" s="40">
        <f t="shared" si="18"/>
        <v>2.0735297897385001</v>
      </c>
      <c r="AF32" s="41"/>
      <c r="AG32" s="69">
        <v>1657109.3091018423</v>
      </c>
      <c r="AH32" s="69">
        <f t="shared" si="8"/>
        <v>1413284.0799999998</v>
      </c>
      <c r="AI32" s="74">
        <f t="shared" si="9"/>
        <v>243825.2291018425</v>
      </c>
      <c r="AJ32" s="42">
        <f t="shared" si="19"/>
        <v>1.1725238630734753</v>
      </c>
      <c r="AK32" s="4"/>
    </row>
    <row r="33" spans="1:37" s="3" customFormat="1" x14ac:dyDescent="0.25">
      <c r="A33" s="44" t="s">
        <v>10</v>
      </c>
      <c r="B33" s="39">
        <v>28753.177554567679</v>
      </c>
      <c r="C33" s="39">
        <v>0</v>
      </c>
      <c r="D33" s="37">
        <v>0</v>
      </c>
      <c r="E33" s="39">
        <v>4579.6323380940885</v>
      </c>
      <c r="F33" s="37">
        <v>26993.945528894379</v>
      </c>
      <c r="G33" s="37">
        <v>0</v>
      </c>
      <c r="H33" s="37">
        <v>3607.0461852354647</v>
      </c>
      <c r="I33" s="38"/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78363.274400000024</v>
      </c>
      <c r="R33" s="37">
        <v>0</v>
      </c>
      <c r="S33" s="37">
        <v>11350.71</v>
      </c>
      <c r="T33" s="37">
        <v>0</v>
      </c>
      <c r="U33" s="39">
        <v>8589.484085417389</v>
      </c>
      <c r="V33" s="38"/>
      <c r="W33" s="37">
        <f t="shared" si="15"/>
        <v>63933.801606791611</v>
      </c>
      <c r="X33" s="37">
        <f t="shared" si="2"/>
        <v>86952.758485417406</v>
      </c>
      <c r="Y33" s="37">
        <f t="shared" si="3"/>
        <v>-23018.956878625795</v>
      </c>
      <c r="Z33" s="40">
        <f t="shared" si="16"/>
        <v>0.73527053908834605</v>
      </c>
      <c r="AA33" s="41"/>
      <c r="AB33" s="69">
        <f t="shared" si="17"/>
        <v>60326.755421556147</v>
      </c>
      <c r="AC33" s="69">
        <f t="shared" si="5"/>
        <v>86952.758485417406</v>
      </c>
      <c r="AD33" s="69">
        <f t="shared" si="6"/>
        <v>-26626.003063861259</v>
      </c>
      <c r="AE33" s="40">
        <f t="shared" si="18"/>
        <v>0.69378771268853268</v>
      </c>
      <c r="AF33" s="41"/>
      <c r="AG33" s="69">
        <v>28753.177554567679</v>
      </c>
      <c r="AH33" s="69">
        <f t="shared" si="8"/>
        <v>89713.984400000016</v>
      </c>
      <c r="AI33" s="74">
        <f t="shared" si="9"/>
        <v>-60960.806845432337</v>
      </c>
      <c r="AJ33" s="42">
        <f t="shared" si="19"/>
        <v>0.32049827846646922</v>
      </c>
      <c r="AK33" s="4"/>
    </row>
    <row r="34" spans="1:37" s="3" customFormat="1" x14ac:dyDescent="0.25">
      <c r="A34" s="44" t="s">
        <v>9</v>
      </c>
      <c r="B34" s="39">
        <v>6796545.13827636</v>
      </c>
      <c r="C34" s="39">
        <v>0</v>
      </c>
      <c r="D34" s="37">
        <v>0</v>
      </c>
      <c r="E34" s="39">
        <v>1731464.5660516643</v>
      </c>
      <c r="F34" s="37">
        <v>6372557.1424989942</v>
      </c>
      <c r="G34" s="37">
        <v>0</v>
      </c>
      <c r="H34" s="37">
        <v>857874.07971452037</v>
      </c>
      <c r="I34" s="38"/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30620.251199999984</v>
      </c>
      <c r="R34" s="37">
        <v>0</v>
      </c>
      <c r="S34" s="37">
        <v>889212.25000000012</v>
      </c>
      <c r="T34" s="37">
        <v>0</v>
      </c>
      <c r="U34" s="39">
        <v>1888589.1351562501</v>
      </c>
      <c r="V34" s="38"/>
      <c r="W34" s="37">
        <f t="shared" si="15"/>
        <v>15758440.926541539</v>
      </c>
      <c r="X34" s="37">
        <f t="shared" si="2"/>
        <v>1919209.3863562504</v>
      </c>
      <c r="Y34" s="37">
        <f t="shared" si="3"/>
        <v>13839231.540185288</v>
      </c>
      <c r="Z34" s="40">
        <f t="shared" si="16"/>
        <v>8.2109023843719378</v>
      </c>
      <c r="AA34" s="41"/>
      <c r="AB34" s="69">
        <f t="shared" si="17"/>
        <v>14900566.846827019</v>
      </c>
      <c r="AC34" s="69">
        <f t="shared" si="5"/>
        <v>1919209.3863562504</v>
      </c>
      <c r="AD34" s="69">
        <f t="shared" si="6"/>
        <v>12981357.46047077</v>
      </c>
      <c r="AE34" s="40">
        <f t="shared" si="18"/>
        <v>7.7639089058004034</v>
      </c>
      <c r="AF34" s="41"/>
      <c r="AG34" s="69">
        <v>6796545.13827636</v>
      </c>
      <c r="AH34" s="69">
        <f t="shared" si="8"/>
        <v>919832.50120000006</v>
      </c>
      <c r="AI34" s="74">
        <f t="shared" si="9"/>
        <v>5876712.6370763602</v>
      </c>
      <c r="AJ34" s="42">
        <f t="shared" si="19"/>
        <v>7.388894314355805</v>
      </c>
      <c r="AK34" s="4"/>
    </row>
    <row r="35" spans="1:37" s="3" customFormat="1" ht="15.75" thickBot="1" x14ac:dyDescent="0.3">
      <c r="A35" s="44" t="s">
        <v>8</v>
      </c>
      <c r="B35" s="39">
        <v>0</v>
      </c>
      <c r="C35" s="39">
        <v>0</v>
      </c>
      <c r="D35" s="37">
        <v>0</v>
      </c>
      <c r="E35" s="39">
        <v>0</v>
      </c>
      <c r="F35" s="37">
        <v>0</v>
      </c>
      <c r="G35" s="37">
        <v>0</v>
      </c>
      <c r="H35" s="37">
        <v>0</v>
      </c>
      <c r="I35" s="38"/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240814.38</v>
      </c>
      <c r="R35" s="37">
        <v>32135.759999999998</v>
      </c>
      <c r="S35" s="37">
        <v>0</v>
      </c>
      <c r="T35" s="37">
        <v>0</v>
      </c>
      <c r="U35" s="39">
        <v>0</v>
      </c>
      <c r="V35" s="38"/>
      <c r="W35" s="73">
        <f t="shared" si="15"/>
        <v>0</v>
      </c>
      <c r="X35" s="73">
        <f t="shared" si="2"/>
        <v>272950.14</v>
      </c>
      <c r="Y35" s="45">
        <f t="shared" si="3"/>
        <v>-272950.14</v>
      </c>
      <c r="Z35" s="52">
        <f t="shared" si="16"/>
        <v>0</v>
      </c>
      <c r="AA35" s="41"/>
      <c r="AB35" s="70">
        <f t="shared" si="17"/>
        <v>0</v>
      </c>
      <c r="AC35" s="70">
        <f t="shared" si="5"/>
        <v>272950.14</v>
      </c>
      <c r="AD35" s="70">
        <f t="shared" si="6"/>
        <v>-272950.14</v>
      </c>
      <c r="AE35" s="53">
        <f t="shared" si="18"/>
        <v>0</v>
      </c>
      <c r="AF35" s="41"/>
      <c r="AG35" s="70">
        <v>0</v>
      </c>
      <c r="AH35" s="70">
        <f t="shared" si="8"/>
        <v>272950.14</v>
      </c>
      <c r="AI35" s="70">
        <f t="shared" si="9"/>
        <v>-272950.14</v>
      </c>
      <c r="AJ35" s="53">
        <f t="shared" si="19"/>
        <v>0</v>
      </c>
      <c r="AK35" s="4"/>
    </row>
    <row r="36" spans="1:37" x14ac:dyDescent="0.25">
      <c r="A36" s="48" t="s">
        <v>7</v>
      </c>
      <c r="B36" s="49">
        <f t="shared" ref="B36:H36" si="20">B37+B38+B39+B40+B41</f>
        <v>0</v>
      </c>
      <c r="C36" s="49">
        <f t="shared" si="20"/>
        <v>0</v>
      </c>
      <c r="D36" s="49">
        <f t="shared" si="20"/>
        <v>0</v>
      </c>
      <c r="E36" s="49">
        <f t="shared" si="20"/>
        <v>0</v>
      </c>
      <c r="F36" s="49">
        <f t="shared" si="20"/>
        <v>0</v>
      </c>
      <c r="G36" s="49">
        <f t="shared" si="20"/>
        <v>0</v>
      </c>
      <c r="H36" s="49">
        <f t="shared" si="20"/>
        <v>0</v>
      </c>
      <c r="I36" s="32"/>
      <c r="J36" s="49">
        <f>J37+J38+J39+J40+J41</f>
        <v>0</v>
      </c>
      <c r="K36" s="49">
        <f t="shared" ref="K36:U36" si="21">K37+K38+K39+K40+K41</f>
        <v>0</v>
      </c>
      <c r="L36" s="49">
        <f t="shared" si="21"/>
        <v>0</v>
      </c>
      <c r="M36" s="49">
        <f t="shared" si="21"/>
        <v>0</v>
      </c>
      <c r="N36" s="49">
        <f t="shared" si="21"/>
        <v>0</v>
      </c>
      <c r="O36" s="49">
        <v>0</v>
      </c>
      <c r="P36" s="49">
        <f t="shared" si="21"/>
        <v>0</v>
      </c>
      <c r="Q36" s="49">
        <f t="shared" si="21"/>
        <v>18428509.168280009</v>
      </c>
      <c r="R36" s="49">
        <f t="shared" si="21"/>
        <v>2088086.7709199998</v>
      </c>
      <c r="S36" s="49">
        <f t="shared" si="21"/>
        <v>-564759.78999999992</v>
      </c>
      <c r="T36" s="49">
        <f t="shared" si="21"/>
        <v>127808.51999999999</v>
      </c>
      <c r="U36" s="49">
        <f t="shared" si="21"/>
        <v>0</v>
      </c>
      <c r="V36" s="32"/>
      <c r="W36" s="50">
        <f t="shared" si="15"/>
        <v>0</v>
      </c>
      <c r="X36" s="50">
        <f t="shared" si="2"/>
        <v>20516595.93920001</v>
      </c>
      <c r="Y36" s="49">
        <f t="shared" si="3"/>
        <v>-20516595.93920001</v>
      </c>
      <c r="Z36" s="54" t="s">
        <v>1</v>
      </c>
      <c r="AA36" s="34"/>
      <c r="AB36" s="71">
        <f t="shared" si="17"/>
        <v>0</v>
      </c>
      <c r="AC36" s="71">
        <f t="shared" si="5"/>
        <v>20516595.93920001</v>
      </c>
      <c r="AD36" s="71">
        <f t="shared" si="6"/>
        <v>-20516595.93920001</v>
      </c>
      <c r="AE36" s="55" t="s">
        <v>1</v>
      </c>
      <c r="AF36" s="34"/>
      <c r="AG36" s="71">
        <f t="shared" ref="AG36:AG41" si="22">B36+C36</f>
        <v>0</v>
      </c>
      <c r="AH36" s="71">
        <f t="shared" si="8"/>
        <v>20079644.669200011</v>
      </c>
      <c r="AI36" s="71">
        <f t="shared" si="9"/>
        <v>-20079644.669200011</v>
      </c>
      <c r="AJ36" s="56" t="s">
        <v>1</v>
      </c>
      <c r="AK36" s="5"/>
    </row>
    <row r="37" spans="1:37" s="3" customFormat="1" x14ac:dyDescent="0.25">
      <c r="A37" s="43" t="s">
        <v>6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8"/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3675220.2800000007</v>
      </c>
      <c r="R37" s="37">
        <v>0</v>
      </c>
      <c r="S37" s="37">
        <v>0</v>
      </c>
      <c r="T37" s="37">
        <v>0</v>
      </c>
      <c r="U37" s="37">
        <v>0</v>
      </c>
      <c r="V37" s="38"/>
      <c r="W37" s="37">
        <f t="shared" si="15"/>
        <v>0</v>
      </c>
      <c r="X37" s="37">
        <f t="shared" si="2"/>
        <v>3675220.2800000007</v>
      </c>
      <c r="Y37" s="37">
        <f t="shared" si="3"/>
        <v>-3675220.2800000007</v>
      </c>
      <c r="Z37" s="46" t="s">
        <v>1</v>
      </c>
      <c r="AA37" s="41"/>
      <c r="AB37" s="69">
        <f t="shared" si="17"/>
        <v>0</v>
      </c>
      <c r="AC37" s="69">
        <f t="shared" si="5"/>
        <v>3675220.2800000007</v>
      </c>
      <c r="AD37" s="69">
        <f t="shared" si="6"/>
        <v>-3675220.2800000007</v>
      </c>
      <c r="AE37" s="46" t="s">
        <v>1</v>
      </c>
      <c r="AF37" s="41"/>
      <c r="AG37" s="69">
        <f t="shared" si="22"/>
        <v>0</v>
      </c>
      <c r="AH37" s="69">
        <f t="shared" si="8"/>
        <v>3675220.2800000007</v>
      </c>
      <c r="AI37" s="74">
        <f t="shared" si="9"/>
        <v>-3675220.2800000007</v>
      </c>
      <c r="AJ37" s="46" t="s">
        <v>1</v>
      </c>
      <c r="AK37" s="4"/>
    </row>
    <row r="38" spans="1:37" s="3" customFormat="1" x14ac:dyDescent="0.25">
      <c r="A38" s="43" t="s">
        <v>5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8"/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3535351.5999999992</v>
      </c>
      <c r="R38" s="37">
        <v>562268.71</v>
      </c>
      <c r="S38" s="37">
        <v>0</v>
      </c>
      <c r="T38" s="37">
        <v>0</v>
      </c>
      <c r="U38" s="37">
        <v>0</v>
      </c>
      <c r="V38" s="38"/>
      <c r="W38" s="37">
        <f t="shared" si="15"/>
        <v>0</v>
      </c>
      <c r="X38" s="37">
        <f t="shared" si="2"/>
        <v>4097620.3099999991</v>
      </c>
      <c r="Y38" s="37">
        <f t="shared" si="3"/>
        <v>-4097620.3099999991</v>
      </c>
      <c r="Z38" s="46" t="s">
        <v>1</v>
      </c>
      <c r="AA38" s="41"/>
      <c r="AB38" s="69">
        <f t="shared" si="17"/>
        <v>0</v>
      </c>
      <c r="AC38" s="69">
        <f t="shared" si="5"/>
        <v>4097620.3099999991</v>
      </c>
      <c r="AD38" s="69">
        <f t="shared" si="6"/>
        <v>-4097620.3099999991</v>
      </c>
      <c r="AE38" s="46" t="s">
        <v>1</v>
      </c>
      <c r="AF38" s="41"/>
      <c r="AG38" s="69">
        <f t="shared" si="22"/>
        <v>0</v>
      </c>
      <c r="AH38" s="69">
        <f t="shared" si="8"/>
        <v>4097620.3099999991</v>
      </c>
      <c r="AI38" s="74">
        <f t="shared" si="9"/>
        <v>-4097620.3099999991</v>
      </c>
      <c r="AJ38" s="46" t="s">
        <v>1</v>
      </c>
      <c r="AK38" s="4"/>
    </row>
    <row r="39" spans="1:37" s="3" customFormat="1" x14ac:dyDescent="0.25">
      <c r="A39" s="43" t="s">
        <v>4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8"/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4190226.3982800003</v>
      </c>
      <c r="R39" s="37">
        <v>572095.82791999995</v>
      </c>
      <c r="S39" s="37">
        <v>0</v>
      </c>
      <c r="T39" s="37">
        <v>0</v>
      </c>
      <c r="U39" s="37">
        <v>0</v>
      </c>
      <c r="V39" s="38"/>
      <c r="W39" s="37">
        <f t="shared" si="15"/>
        <v>0</v>
      </c>
      <c r="X39" s="37">
        <f t="shared" si="2"/>
        <v>4762322.2262000004</v>
      </c>
      <c r="Y39" s="37">
        <f t="shared" si="3"/>
        <v>-4762322.2262000004</v>
      </c>
      <c r="Z39" s="46" t="s">
        <v>1</v>
      </c>
      <c r="AA39" s="41"/>
      <c r="AB39" s="69">
        <f t="shared" si="17"/>
        <v>0</v>
      </c>
      <c r="AC39" s="69">
        <f t="shared" si="5"/>
        <v>4762322.2262000004</v>
      </c>
      <c r="AD39" s="69">
        <f t="shared" si="6"/>
        <v>-4762322.2262000004</v>
      </c>
      <c r="AE39" s="46" t="s">
        <v>1</v>
      </c>
      <c r="AF39" s="41"/>
      <c r="AG39" s="69">
        <f t="shared" si="22"/>
        <v>0</v>
      </c>
      <c r="AH39" s="69">
        <f t="shared" si="8"/>
        <v>4762322.2262000004</v>
      </c>
      <c r="AI39" s="74">
        <f t="shared" si="9"/>
        <v>-4762322.2262000004</v>
      </c>
      <c r="AJ39" s="46" t="s">
        <v>1</v>
      </c>
      <c r="AK39" s="4"/>
    </row>
    <row r="40" spans="1:37" s="3" customFormat="1" x14ac:dyDescent="0.25">
      <c r="A40" s="44" t="s">
        <v>3</v>
      </c>
      <c r="B40" s="45">
        <v>0</v>
      </c>
      <c r="C40" s="45">
        <v>0</v>
      </c>
      <c r="D40" s="45">
        <v>0</v>
      </c>
      <c r="E40" s="45">
        <v>0</v>
      </c>
      <c r="F40" s="37">
        <v>0</v>
      </c>
      <c r="G40" s="37">
        <v>0</v>
      </c>
      <c r="H40" s="45">
        <v>0</v>
      </c>
      <c r="I40" s="38"/>
      <c r="J40" s="45">
        <v>0</v>
      </c>
      <c r="K40" s="45">
        <v>0</v>
      </c>
      <c r="L40" s="45">
        <v>0</v>
      </c>
      <c r="M40" s="45">
        <v>0</v>
      </c>
      <c r="N40" s="37">
        <v>0</v>
      </c>
      <c r="O40" s="45">
        <v>0</v>
      </c>
      <c r="P40" s="45">
        <v>0</v>
      </c>
      <c r="Q40" s="37">
        <v>6243157.7900000056</v>
      </c>
      <c r="R40" s="37">
        <v>856317.60999999975</v>
      </c>
      <c r="S40" s="37">
        <v>0</v>
      </c>
      <c r="T40" s="37">
        <v>0</v>
      </c>
      <c r="U40" s="37">
        <v>0</v>
      </c>
      <c r="V40" s="38"/>
      <c r="W40" s="37">
        <f t="shared" si="15"/>
        <v>0</v>
      </c>
      <c r="X40" s="37">
        <f t="shared" si="2"/>
        <v>7099475.400000005</v>
      </c>
      <c r="Y40" s="45">
        <f t="shared" si="3"/>
        <v>-7099475.400000005</v>
      </c>
      <c r="Z40" s="57" t="s">
        <v>1</v>
      </c>
      <c r="AA40" s="41"/>
      <c r="AB40" s="69">
        <f t="shared" si="17"/>
        <v>0</v>
      </c>
      <c r="AC40" s="69">
        <f t="shared" si="5"/>
        <v>7099475.400000005</v>
      </c>
      <c r="AD40" s="72">
        <f t="shared" si="6"/>
        <v>-7099475.400000005</v>
      </c>
      <c r="AE40" s="57" t="s">
        <v>1</v>
      </c>
      <c r="AF40" s="41"/>
      <c r="AG40" s="69">
        <f t="shared" si="22"/>
        <v>0</v>
      </c>
      <c r="AH40" s="69">
        <f t="shared" si="8"/>
        <v>7099475.400000005</v>
      </c>
      <c r="AI40" s="72">
        <f t="shared" si="9"/>
        <v>-7099475.400000005</v>
      </c>
      <c r="AJ40" s="57" t="s">
        <v>1</v>
      </c>
      <c r="AK40" s="4"/>
    </row>
    <row r="41" spans="1:37" s="3" customFormat="1" ht="15.75" thickBot="1" x14ac:dyDescent="0.3">
      <c r="A41" s="43" t="s">
        <v>2</v>
      </c>
      <c r="B41" s="45">
        <v>0</v>
      </c>
      <c r="C41" s="45">
        <v>0</v>
      </c>
      <c r="D41" s="45">
        <v>0</v>
      </c>
      <c r="E41" s="45">
        <v>0</v>
      </c>
      <c r="F41" s="37">
        <v>0</v>
      </c>
      <c r="G41" s="37">
        <v>0</v>
      </c>
      <c r="H41" s="45">
        <v>0</v>
      </c>
      <c r="I41" s="38"/>
      <c r="J41" s="45">
        <v>0</v>
      </c>
      <c r="K41" s="45">
        <v>0</v>
      </c>
      <c r="L41" s="45">
        <v>0</v>
      </c>
      <c r="M41" s="45">
        <v>0</v>
      </c>
      <c r="N41" s="37">
        <v>0</v>
      </c>
      <c r="O41" s="45">
        <v>0</v>
      </c>
      <c r="P41" s="45">
        <v>0</v>
      </c>
      <c r="Q41" s="37">
        <v>784553.09999999974</v>
      </c>
      <c r="R41" s="37">
        <v>97404.622999999992</v>
      </c>
      <c r="S41" s="37">
        <v>-564759.78999999992</v>
      </c>
      <c r="T41" s="37">
        <v>127808.51999999999</v>
      </c>
      <c r="U41" s="37">
        <v>0</v>
      </c>
      <c r="V41" s="38"/>
      <c r="W41" s="37">
        <f t="shared" si="15"/>
        <v>0</v>
      </c>
      <c r="X41" s="37">
        <f t="shared" si="2"/>
        <v>881957.72299999977</v>
      </c>
      <c r="Y41" s="45">
        <f t="shared" si="3"/>
        <v>-881957.72299999977</v>
      </c>
      <c r="Z41" s="57" t="s">
        <v>1</v>
      </c>
      <c r="AA41" s="41"/>
      <c r="AB41" s="69">
        <f t="shared" si="17"/>
        <v>0</v>
      </c>
      <c r="AC41" s="69">
        <f t="shared" si="5"/>
        <v>881957.72299999977</v>
      </c>
      <c r="AD41" s="72">
        <f t="shared" si="6"/>
        <v>-881957.72299999977</v>
      </c>
      <c r="AE41" s="57" t="s">
        <v>1</v>
      </c>
      <c r="AF41" s="41"/>
      <c r="AG41" s="69">
        <f t="shared" si="22"/>
        <v>0</v>
      </c>
      <c r="AH41" s="69">
        <f t="shared" si="8"/>
        <v>445006.45299999986</v>
      </c>
      <c r="AI41" s="72">
        <f t="shared" si="9"/>
        <v>-445006.45299999986</v>
      </c>
      <c r="AJ41" s="57" t="s">
        <v>1</v>
      </c>
      <c r="AK41" s="4"/>
    </row>
    <row r="42" spans="1:37" ht="15.75" thickBot="1" x14ac:dyDescent="0.3">
      <c r="A42" s="59" t="s">
        <v>0</v>
      </c>
      <c r="B42" s="60">
        <f>B4+B24+B36</f>
        <v>185991607.2929568</v>
      </c>
      <c r="C42" s="60">
        <f t="shared" ref="C42:H42" si="23">C4+C24+C36</f>
        <v>107321171.7965617</v>
      </c>
      <c r="D42" s="60">
        <f t="shared" si="23"/>
        <v>18537840.400305565</v>
      </c>
      <c r="E42" s="60">
        <f t="shared" si="23"/>
        <v>41622733.549100392</v>
      </c>
      <c r="F42" s="60">
        <f t="shared" si="23"/>
        <v>131698348.63058627</v>
      </c>
      <c r="G42" s="60">
        <f t="shared" ref="G42" si="24">G4+G24+G36</f>
        <v>19503.440000000002</v>
      </c>
      <c r="H42" s="60">
        <f t="shared" si="23"/>
        <v>18674835.949231599</v>
      </c>
      <c r="I42" s="61"/>
      <c r="J42" s="62">
        <f>J4+J24+J36</f>
        <v>1440484.9719740455</v>
      </c>
      <c r="K42" s="62">
        <f t="shared" ref="K42:U42" si="25">K4+K24+K36</f>
        <v>9651803.6732707284</v>
      </c>
      <c r="L42" s="62">
        <f t="shared" si="25"/>
        <v>0</v>
      </c>
      <c r="M42" s="62">
        <f t="shared" si="25"/>
        <v>0</v>
      </c>
      <c r="N42" s="62">
        <f t="shared" si="25"/>
        <v>177.86478382159032</v>
      </c>
      <c r="O42" s="62">
        <v>0</v>
      </c>
      <c r="P42" s="62">
        <f t="shared" si="25"/>
        <v>6305.0947610493686</v>
      </c>
      <c r="Q42" s="62">
        <f t="shared" si="25"/>
        <v>57326967.699480012</v>
      </c>
      <c r="R42" s="62">
        <f t="shared" si="25"/>
        <v>7261574.7502922108</v>
      </c>
      <c r="S42" s="62">
        <f t="shared" si="25"/>
        <v>67450929.189999983</v>
      </c>
      <c r="T42" s="62">
        <f t="shared" si="25"/>
        <v>9835884.9899999984</v>
      </c>
      <c r="U42" s="62">
        <f t="shared" si="25"/>
        <v>111945486.31451571</v>
      </c>
      <c r="V42" s="61"/>
      <c r="W42" s="60">
        <f t="shared" si="15"/>
        <v>503866041.05874234</v>
      </c>
      <c r="X42" s="60">
        <f t="shared" si="2"/>
        <v>187632800.36907759</v>
      </c>
      <c r="Y42" s="60">
        <f t="shared" si="3"/>
        <v>316233240.68966472</v>
      </c>
      <c r="Z42" s="63">
        <f>W42/X42</f>
        <v>2.6853835793508782</v>
      </c>
      <c r="AA42" s="64"/>
      <c r="AB42" s="65">
        <f t="shared" si="17"/>
        <v>485171701.66951072</v>
      </c>
      <c r="AC42" s="65">
        <f t="shared" si="5"/>
        <v>187626495.27431655</v>
      </c>
      <c r="AD42" s="65">
        <f t="shared" si="6"/>
        <v>297545206.39519417</v>
      </c>
      <c r="AE42" s="63">
        <f>AB42/AC42</f>
        <v>2.5858378954431389</v>
      </c>
      <c r="AF42" s="64"/>
      <c r="AG42" s="65">
        <f>AG4+AG24+AG36</f>
        <v>218595802.21604723</v>
      </c>
      <c r="AH42" s="65">
        <f>AH4+AH24+AH36</f>
        <v>152967645.27501699</v>
      </c>
      <c r="AI42" s="65">
        <f>AI4+AI24+AI36</f>
        <v>65628156.941030242</v>
      </c>
      <c r="AJ42" s="63">
        <f>AG42/AH42</f>
        <v>1.4290329293037027</v>
      </c>
      <c r="AK42" s="66"/>
    </row>
    <row r="43" spans="1:37" x14ac:dyDescent="0.25">
      <c r="A43" s="59" t="s">
        <v>111</v>
      </c>
      <c r="B43" s="60">
        <f>B42-SUM(B6:B16)</f>
        <v>140907593.62899768</v>
      </c>
      <c r="C43" s="60">
        <f t="shared" ref="C43:H43" si="26">C42-SUM(C6:C16)</f>
        <v>99536157.633392304</v>
      </c>
      <c r="D43" s="60">
        <f t="shared" si="26"/>
        <v>12200583.302454101</v>
      </c>
      <c r="E43" s="60">
        <f t="shared" si="26"/>
        <v>27926003.19561141</v>
      </c>
      <c r="F43" s="60">
        <f t="shared" si="26"/>
        <v>104526431.38981301</v>
      </c>
      <c r="G43" s="60">
        <f t="shared" ref="G43" si="27">G42-SUM(G6:G16)</f>
        <v>0</v>
      </c>
      <c r="H43" s="60">
        <f t="shared" si="26"/>
        <v>13821104.550400604</v>
      </c>
      <c r="I43" s="61"/>
      <c r="J43" s="62">
        <f>J42-SUM(J6:J16)</f>
        <v>1392709.1296974395</v>
      </c>
      <c r="K43" s="62">
        <f t="shared" ref="K43:U43" si="28">K42-SUM(K6:K16)</f>
        <v>5059647.8872608198</v>
      </c>
      <c r="L43" s="62">
        <f t="shared" si="28"/>
        <v>0</v>
      </c>
      <c r="M43" s="62">
        <f t="shared" si="28"/>
        <v>0</v>
      </c>
      <c r="N43" s="62">
        <f t="shared" si="28"/>
        <v>127.06372602812638</v>
      </c>
      <c r="O43" s="62">
        <v>0</v>
      </c>
      <c r="P43" s="62">
        <f t="shared" si="28"/>
        <v>21.579348329323693</v>
      </c>
      <c r="Q43" s="62">
        <f t="shared" si="28"/>
        <v>39876224.838580012</v>
      </c>
      <c r="R43" s="62">
        <f t="shared" si="28"/>
        <v>4820971.0653922111</v>
      </c>
      <c r="S43" s="62">
        <f t="shared" si="28"/>
        <v>37189040.939999983</v>
      </c>
      <c r="T43" s="62">
        <f t="shared" si="28"/>
        <v>5663336.629999999</v>
      </c>
      <c r="U43" s="62">
        <f t="shared" si="28"/>
        <v>74602142.902154729</v>
      </c>
      <c r="V43" s="61"/>
      <c r="W43" s="60">
        <f>W42-SUM(W6:W16)</f>
        <v>398917873.70066917</v>
      </c>
      <c r="X43" s="60">
        <f>X42-SUM(X6:X16)</f>
        <v>125751844.46615955</v>
      </c>
      <c r="Y43" s="60">
        <f>Y42-SUM(Y6:Y16)</f>
        <v>273166029.23450953</v>
      </c>
      <c r="Z43" s="63">
        <f>W43/X43</f>
        <v>3.1722626049275959</v>
      </c>
      <c r="AA43" s="64"/>
      <c r="AB43" s="65">
        <f>AB42-SUM(AB6:AB16)</f>
        <v>385096769.15026844</v>
      </c>
      <c r="AC43" s="65">
        <f>AC42-SUM(AC6:AC16)</f>
        <v>125751822.88681124</v>
      </c>
      <c r="AD43" s="65">
        <f>AD42-SUM(AD6:AD16)</f>
        <v>259344946.26345724</v>
      </c>
      <c r="AE43" s="63">
        <f>AB43/AC43</f>
        <v>3.0623553624100754</v>
      </c>
      <c r="AF43" s="64"/>
      <c r="AG43" s="67">
        <f>AG42-SUM(AG6:AG16)</f>
        <v>166925281.3917172</v>
      </c>
      <c r="AH43" s="65">
        <f>AH42-SUM(AH6:AH16)</f>
        <v>94001930.490930468</v>
      </c>
      <c r="AI43" s="65">
        <f>AI42-SUM(AI6:AI16)</f>
        <v>72923350.900786743</v>
      </c>
      <c r="AJ43" s="63">
        <f>AG43/AH43</f>
        <v>1.775764396751645</v>
      </c>
      <c r="AK43" s="66"/>
    </row>
    <row r="44" spans="1:37" x14ac:dyDescent="0.25"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79" t="s">
        <v>112</v>
      </c>
      <c r="AH44" s="79"/>
      <c r="AI44" s="79"/>
      <c r="AJ44" s="79"/>
      <c r="AK44" s="1"/>
    </row>
    <row r="45" spans="1:37" x14ac:dyDescent="0.25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80"/>
      <c r="AH45" s="80"/>
      <c r="AI45" s="80"/>
      <c r="AJ45" s="80"/>
      <c r="AK45" s="1"/>
    </row>
    <row r="46" spans="1:37" x14ac:dyDescent="0.25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2"/>
      <c r="AH46" s="1"/>
      <c r="AI46" s="1"/>
      <c r="AJ46" s="1"/>
      <c r="AK46" s="1"/>
    </row>
    <row r="47" spans="1:37" x14ac:dyDescent="0.25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5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9:37" x14ac:dyDescent="0.25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</sheetData>
  <autoFilter ref="A3:AJ35" xr:uid="{012B4FA6-4BE1-4C55-B18D-B657EDE9A864}"/>
  <mergeCells count="7">
    <mergeCell ref="AG44:AJ45"/>
    <mergeCell ref="AG1:AJ1"/>
    <mergeCell ref="A1:A2"/>
    <mergeCell ref="B1:H1"/>
    <mergeCell ref="J1:U1"/>
    <mergeCell ref="W1:Z1"/>
    <mergeCell ref="AB1:AE1"/>
  </mergeCells>
  <pageMargins left="0.25" right="0.25" top="0.75" bottom="0.75" header="0.3" footer="0.3"/>
  <pageSetup scale="44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330D-F5BC-4E4A-8E14-E4CE648243CC}">
  <dimension ref="A1:AI4"/>
  <sheetViews>
    <sheetView workbookViewId="0">
      <selection sqref="A1:A2"/>
    </sheetView>
  </sheetViews>
  <sheetFormatPr defaultRowHeight="15" x14ac:dyDescent="0.25"/>
  <cols>
    <col min="1" max="1" width="19.85546875" bestFit="1" customWidth="1"/>
    <col min="2" max="2" width="16.140625" customWidth="1"/>
    <col min="3" max="3" width="15.5703125" customWidth="1"/>
    <col min="4" max="5" width="11.5703125" bestFit="1" customWidth="1"/>
    <col min="6" max="6" width="14.28515625" bestFit="1" customWidth="1"/>
    <col min="7" max="7" width="11.5703125" bestFit="1" customWidth="1"/>
    <col min="8" max="8" width="1.42578125" customWidth="1"/>
    <col min="9" max="9" width="15.42578125" bestFit="1" customWidth="1"/>
    <col min="10" max="15" width="15.42578125" customWidth="1"/>
    <col min="16" max="18" width="11.5703125" bestFit="1" customWidth="1"/>
    <col min="19" max="19" width="14.28515625" bestFit="1" customWidth="1"/>
    <col min="20" max="20" width="2.28515625" customWidth="1"/>
    <col min="21" max="21" width="20.42578125" customWidth="1"/>
    <col min="22" max="22" width="22.28515625" customWidth="1"/>
    <col min="23" max="23" width="15.85546875" customWidth="1"/>
    <col min="24" max="24" width="13.42578125" customWidth="1"/>
    <col min="25" max="25" width="2.28515625" customWidth="1"/>
    <col min="26" max="26" width="20.140625" customWidth="1"/>
    <col min="27" max="27" width="20.5703125" bestFit="1" customWidth="1"/>
    <col min="28" max="28" width="15.85546875" customWidth="1"/>
    <col min="30" max="30" width="2" customWidth="1"/>
    <col min="31" max="31" width="16.85546875" customWidth="1"/>
    <col min="32" max="32" width="21.28515625" customWidth="1"/>
    <col min="33" max="33" width="18.7109375" bestFit="1" customWidth="1"/>
    <col min="34" max="34" width="14.140625" bestFit="1" customWidth="1"/>
    <col min="35" max="35" width="2" customWidth="1"/>
  </cols>
  <sheetData>
    <row r="1" spans="1:35" x14ac:dyDescent="0.25">
      <c r="A1" s="84" t="s">
        <v>93</v>
      </c>
      <c r="B1" s="81" t="s">
        <v>92</v>
      </c>
      <c r="C1" s="82"/>
      <c r="D1" s="82"/>
      <c r="E1" s="82"/>
      <c r="F1" s="82"/>
      <c r="G1" s="82"/>
      <c r="H1" s="13"/>
      <c r="I1" s="81" t="s">
        <v>91</v>
      </c>
      <c r="J1" s="82"/>
      <c r="K1" s="82"/>
      <c r="L1" s="82"/>
      <c r="M1" s="82"/>
      <c r="N1" s="82"/>
      <c r="O1" s="82"/>
      <c r="P1" s="82"/>
      <c r="Q1" s="82"/>
      <c r="R1" s="82"/>
      <c r="S1" s="83"/>
      <c r="T1" s="13"/>
      <c r="U1" s="81" t="s">
        <v>90</v>
      </c>
      <c r="V1" s="82"/>
      <c r="W1" s="82"/>
      <c r="X1" s="83"/>
      <c r="Y1" s="14"/>
      <c r="Z1" s="81" t="s">
        <v>89</v>
      </c>
      <c r="AA1" s="82"/>
      <c r="AB1" s="82"/>
      <c r="AC1" s="83"/>
      <c r="AD1" s="13"/>
      <c r="AE1" s="81" t="s">
        <v>88</v>
      </c>
      <c r="AF1" s="82"/>
      <c r="AG1" s="82"/>
      <c r="AH1" s="83"/>
      <c r="AI1" s="13"/>
    </row>
    <row r="2" spans="1:35" ht="40.5" x14ac:dyDescent="0.25">
      <c r="A2" s="85"/>
      <c r="B2" s="11" t="s">
        <v>87</v>
      </c>
      <c r="C2" s="9" t="s">
        <v>86</v>
      </c>
      <c r="D2" s="9" t="s">
        <v>85</v>
      </c>
      <c r="E2" s="9" t="s">
        <v>84</v>
      </c>
      <c r="F2" s="9" t="s">
        <v>83</v>
      </c>
      <c r="G2" s="9" t="s">
        <v>82</v>
      </c>
      <c r="H2" s="5"/>
      <c r="I2" s="11" t="s">
        <v>87</v>
      </c>
      <c r="J2" s="9" t="s">
        <v>86</v>
      </c>
      <c r="K2" s="9" t="s">
        <v>85</v>
      </c>
      <c r="L2" s="9" t="s">
        <v>84</v>
      </c>
      <c r="M2" s="9" t="s">
        <v>83</v>
      </c>
      <c r="N2" s="9" t="s">
        <v>82</v>
      </c>
      <c r="O2" s="10" t="s">
        <v>81</v>
      </c>
      <c r="P2" s="10" t="s">
        <v>80</v>
      </c>
      <c r="Q2" s="10" t="s">
        <v>79</v>
      </c>
      <c r="R2" s="10" t="s">
        <v>78</v>
      </c>
      <c r="S2" s="10" t="s">
        <v>77</v>
      </c>
      <c r="T2" s="5"/>
      <c r="U2" s="9" t="s">
        <v>76</v>
      </c>
      <c r="V2" s="9" t="s">
        <v>75</v>
      </c>
      <c r="W2" s="9" t="s">
        <v>74</v>
      </c>
      <c r="X2" s="9" t="s">
        <v>73</v>
      </c>
      <c r="Y2" s="5"/>
      <c r="Z2" s="9" t="s">
        <v>76</v>
      </c>
      <c r="AA2" s="9" t="s">
        <v>75</v>
      </c>
      <c r="AB2" s="9" t="s">
        <v>74</v>
      </c>
      <c r="AC2" s="9" t="s">
        <v>73</v>
      </c>
      <c r="AD2" s="5"/>
      <c r="AE2" s="8" t="s">
        <v>72</v>
      </c>
      <c r="AF2" s="8" t="s">
        <v>71</v>
      </c>
      <c r="AG2" s="8" t="s">
        <v>70</v>
      </c>
      <c r="AH2" s="8" t="s">
        <v>69</v>
      </c>
      <c r="AI2" s="5"/>
    </row>
    <row r="3" spans="1:35" x14ac:dyDescent="0.25">
      <c r="A3" s="20" t="s">
        <v>68</v>
      </c>
      <c r="B3" s="20" t="s">
        <v>67</v>
      </c>
      <c r="C3" s="20" t="s">
        <v>66</v>
      </c>
      <c r="D3" s="20" t="s">
        <v>65</v>
      </c>
      <c r="E3" s="20" t="s">
        <v>64</v>
      </c>
      <c r="F3" s="20" t="s">
        <v>63</v>
      </c>
      <c r="G3" s="20" t="s">
        <v>62</v>
      </c>
      <c r="H3" s="5"/>
      <c r="I3" s="20" t="s">
        <v>61</v>
      </c>
      <c r="J3" s="20" t="s">
        <v>60</v>
      </c>
      <c r="K3" s="20" t="s">
        <v>59</v>
      </c>
      <c r="L3" s="20" t="s">
        <v>58</v>
      </c>
      <c r="M3" s="20" t="s">
        <v>57</v>
      </c>
      <c r="N3" s="20" t="s">
        <v>56</v>
      </c>
      <c r="O3" s="20" t="s">
        <v>55</v>
      </c>
      <c r="P3" s="20" t="s">
        <v>54</v>
      </c>
      <c r="Q3" s="20" t="s">
        <v>53</v>
      </c>
      <c r="R3" s="20" t="s">
        <v>52</v>
      </c>
      <c r="S3" s="20" t="s">
        <v>51</v>
      </c>
      <c r="T3" s="5"/>
      <c r="U3" s="20" t="s">
        <v>50</v>
      </c>
      <c r="V3" s="20" t="s">
        <v>49</v>
      </c>
      <c r="W3" s="20" t="s">
        <v>48</v>
      </c>
      <c r="X3" s="20" t="s">
        <v>47</v>
      </c>
      <c r="Y3" s="5"/>
      <c r="Z3" s="20" t="s">
        <v>46</v>
      </c>
      <c r="AA3" s="20" t="s">
        <v>45</v>
      </c>
      <c r="AB3" s="20" t="s">
        <v>44</v>
      </c>
      <c r="AC3" s="20" t="s">
        <v>43</v>
      </c>
      <c r="AD3" s="5"/>
      <c r="AE3" s="20" t="s">
        <v>42</v>
      </c>
      <c r="AF3" s="20" t="s">
        <v>41</v>
      </c>
      <c r="AG3" s="20" t="s">
        <v>40</v>
      </c>
      <c r="AH3" s="20" t="s">
        <v>39</v>
      </c>
      <c r="AI3" s="5"/>
    </row>
    <row r="4" spans="1:35" x14ac:dyDescent="0.25">
      <c r="A4" s="76" t="s">
        <v>94</v>
      </c>
      <c r="B4" s="16">
        <v>61576231.553578191</v>
      </c>
      <c r="C4" s="16">
        <v>0</v>
      </c>
      <c r="D4" s="16">
        <v>0</v>
      </c>
      <c r="E4" s="16">
        <v>0</v>
      </c>
      <c r="F4" s="16">
        <v>30370714.909064051</v>
      </c>
      <c r="G4" s="16">
        <v>4829851.7118219994</v>
      </c>
      <c r="H4" s="17"/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30638443</v>
      </c>
      <c r="P4" s="16">
        <v>0</v>
      </c>
      <c r="Q4" s="16">
        <v>0</v>
      </c>
      <c r="R4" s="16">
        <v>0</v>
      </c>
      <c r="S4" s="16">
        <v>11042062.619786002</v>
      </c>
      <c r="T4" s="18"/>
      <c r="U4" s="16">
        <f>Z4+G4</f>
        <v>96776798.174464241</v>
      </c>
      <c r="V4" s="16">
        <f>AA4</f>
        <v>41680505.619786002</v>
      </c>
      <c r="W4" s="16">
        <f>U4-V4</f>
        <v>55096292.554678239</v>
      </c>
      <c r="X4" s="19">
        <f>U4/V4</f>
        <v>2.3218719815271069</v>
      </c>
      <c r="Y4" s="18"/>
      <c r="Z4" s="16">
        <f>SUM(B4:F4)</f>
        <v>91946946.462642238</v>
      </c>
      <c r="AA4" s="16">
        <f>SUM(I4:S4)-SUM(Q4:R4)</f>
        <v>41680505.619786002</v>
      </c>
      <c r="AB4" s="16">
        <f>Z4-AA4</f>
        <v>50266440.842856236</v>
      </c>
      <c r="AC4" s="19">
        <f>Z4/AA4</f>
        <v>2.2059940275531216</v>
      </c>
      <c r="AD4" s="18"/>
      <c r="AE4" s="16">
        <f>B4+C4</f>
        <v>61576231.553578191</v>
      </c>
      <c r="AF4" s="16">
        <f>I4+J4+O4+P4+Q4+R4+S4</f>
        <v>41680505.619786002</v>
      </c>
      <c r="AG4" s="16">
        <f>AE4-AF4</f>
        <v>19895725.933792189</v>
      </c>
      <c r="AH4" s="19">
        <f>AE4/AF4</f>
        <v>1.4773388815213306</v>
      </c>
      <c r="AI4" s="15"/>
    </row>
  </sheetData>
  <mergeCells count="6">
    <mergeCell ref="AE1:AH1"/>
    <mergeCell ref="A1:A2"/>
    <mergeCell ref="B1:G1"/>
    <mergeCell ref="I1:S1"/>
    <mergeCell ref="U1:X1"/>
    <mergeCell ref="Z1:A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File Info</vt:lpstr>
      <vt:lpstr>SAG Summary - EE Portfolio</vt:lpstr>
      <vt:lpstr>SAG Summary - Voltage Opt.</vt:lpstr>
      <vt:lpstr>'SAG Summary - EE Portfolio'!Print_Area</vt:lpstr>
    </vt:vector>
  </TitlesOfParts>
  <Company>Opinion Dynamics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 Ross</dc:creator>
  <cp:lastModifiedBy>Zachary Ross</cp:lastModifiedBy>
  <dcterms:created xsi:type="dcterms:W3CDTF">2025-05-20T12:11:24Z</dcterms:created>
  <dcterms:modified xsi:type="dcterms:W3CDTF">2025-06-22T16:08:15Z</dcterms:modified>
</cp:coreProperties>
</file>