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7727 &amp; 7737 Ameren\_Reporting\2024\Cost-Effectiveness Report\Draft #1\"/>
    </mc:Choice>
  </mc:AlternateContent>
  <xr:revisionPtr revIDLastSave="0" documentId="13_ncr:1_{29D369B6-C1A8-434E-82F8-972612C28518}" xr6:coauthVersionLast="47" xr6:coauthVersionMax="47" xr10:uidLastSave="{00000000-0000-0000-0000-000000000000}"/>
  <bookViews>
    <workbookView xWindow="-120" yWindow="-120" windowWidth="24240" windowHeight="13020" xr2:uid="{11A34839-DC5B-4AD0-A966-0FAE08D5D0AE}"/>
  </bookViews>
  <sheets>
    <sheet name="File Info" sheetId="3" r:id="rId1"/>
    <sheet name="SAG Summary - EE Portfolio" sheetId="1" r:id="rId2"/>
    <sheet name="SAG Summary - Voltage Opt." sheetId="2" r:id="rId3"/>
  </sheets>
  <definedNames>
    <definedName name="_____sal2" hidden="1">{"SALARIOS",#N/A,FALSE,"Hoja3";"SUELDOS EMPLEADOS",#N/A,FALSE,"Hoja4";"SUELDOS EJECUTIVOS",#N/A,FALSE,"Hoja5"}</definedName>
    <definedName name="____sal2" hidden="1">{"SALARIOS",#N/A,FALSE,"Hoja3";"SUELDOS EMPLEADOS",#N/A,FALSE,"Hoja4";"SUELDOS EJECUTIVOS",#N/A,FALSE,"Hoja5"}</definedName>
    <definedName name="___sal2" hidden="1">{"SALARIOS",#N/A,FALSE,"Hoja3";"SUELDOS EMPLEADOS",#N/A,FALSE,"Hoja4";"SUELDOS EJECUTIVOS",#N/A,FALSE,"Hoja5"}</definedName>
    <definedName name="__IntlFixup" hidden="1">TRUE</definedName>
    <definedName name="__sal2" hidden="1">{"SALARIOS",#N/A,FALSE,"Hoja3";"SUELDOS EMPLEADOS",#N/A,FALSE,"Hoja4";"SUELDOS EJECUTIVOS",#N/A,FALSE,"Hoja5"}</definedName>
    <definedName name="_1_123Graph_AEND" hidden="1">#REF!</definedName>
    <definedName name="_2_123Graph_XEND" hidden="1">#REF!</definedName>
    <definedName name="_Dist_Bin" hidden="1">#REF!</definedName>
    <definedName name="_Dist_Values" hidden="1">#REF!</definedName>
    <definedName name="_Fill" hidden="1">#REF!</definedName>
    <definedName name="_xlnm._FilterDatabase" localSheetId="1" hidden="1">'SAG Summary - EE Portfolio'!$A$3:$AH$32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dsfas" hidden="1">#REF!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nnual_report2" hidden="1">{"ARPandL",#N/A,FALSE,"Report Annual";"ARCashflow",#N/A,FALSE,"Report Annual";"ARBalanceSheet",#N/A,FALSE,"Report Annual";"ARRatios",#N/A,FALSE,"Report Annual"}</definedName>
    <definedName name="AS2DocOpenMode" hidden="1">"AS2DocumentEdit"</definedName>
    <definedName name="avoided_costs_final">#REF!</definedName>
    <definedName name="avoided_costs_mod">#REF!</definedName>
    <definedName name="avoided_costs_raw">#REF!</definedName>
    <definedName name="Avoided_kW_Monetized">#REF!</definedName>
    <definedName name="Avoided_kWh_Monetized">#REF!</definedName>
    <definedName name="Avoided_Therms_Monetized">#REF!</definedName>
    <definedName name="Avoided_Therms_Monetized_Summ">#REF!</definedName>
    <definedName name="Avoided_Therms_Monetized_Wint">#REF!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omm_Line_Loss">#REF!</definedName>
    <definedName name="Comm_Peak_Loss">#REF!</definedName>
    <definedName name="DRC_Monetized">#REF!</definedName>
    <definedName name="DRCsched">#REF!</definedName>
    <definedName name="Elec_BillSavings_Monetized">#REF!</definedName>
    <definedName name="Elec_LostRevenue_Monetized">#REF!</definedName>
    <definedName name="env_ben_gas_monetized">#REF!</definedName>
    <definedName name="env_ben_monetized">#REF!</definedName>
    <definedName name="EquipType">#REF!</definedName>
    <definedName name="expenditure_elec_port_mod">#REF!</definedName>
    <definedName name="expenditure_elec_prog_mod">#REF!</definedName>
    <definedName name="expenditure_gas_port_mod">#REF!</definedName>
    <definedName name="expenditure_gas_prog_mod">#REF!</definedName>
    <definedName name="expenditures_elec_raw">#REF!</definedName>
    <definedName name="expenditures_gas_raw">#REF!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lujo2" hidden="1">{"FLUJO DE CAJA",#N/A,FALSE,"Hoja1";"ANEXOS FLUJO",#N/A,FALSE,"Hoja1"}</definedName>
    <definedName name="ganacias2" hidden="1">{"GAN.Y PERD.RESUMIDO",#N/A,FALSE,"Hoja1";"GAN.Y PERD.DETALLADO",#N/A,FALSE,"Hoja1"}</definedName>
    <definedName name="Gas_BillSavings_Monetized">#REF!</definedName>
    <definedName name="Gas_BillSavings_Monetized_Summ">#REF!</definedName>
    <definedName name="Gas_BillSavings_Monetized_Wint">#REF!</definedName>
    <definedName name="Gas_LostRevenue_Monetized">#REF!</definedName>
    <definedName name="Gas_LostRevenue_Monetized_Summ">#REF!</definedName>
    <definedName name="Gas_LostRevenue_Monetized_Wint">#REF!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Inflation_Rate">#REF!</definedName>
    <definedName name="inputs" hidden="1">{"Inputs 1","Base",FALSE,"INPUTS";"Inputs 2","Base",FALSE,"INPUTS";"Inputs 3","Base",FALSE,"INPUTS";"Inputs 4","Base",FALSE,"INPUTS";"Inputs 5","Base",FALSE,"INPUTS"}</definedName>
    <definedName name="jj" hidden="1">{"Portrait",#N/A,FALSE,"BOILER";"boiler_1",#N/A,FALSE,"BOILER";"boiler_2",#N/A,FALSE,"BOILER";"boiler_3",#N/A,FALSE,"BOILER";"results",#N/A,FALSE,"BOILER"}</definedName>
    <definedName name="kw_monetized">#REF!</definedName>
    <definedName name="kwh_monetized">#REF!</definedName>
    <definedName name="meas_ben_summ">#REF!</definedName>
    <definedName name="Meas_Benefits_Summary">#REF!</definedName>
    <definedName name="meas_cost_mod">#REF!</definedName>
    <definedName name="meas_cost_summ">#REF!</definedName>
    <definedName name="measCore">#REF!</definedName>
    <definedName name="Measure_Cost_Summary">#REF!</definedName>
    <definedName name="measureKey">#REF!</definedName>
    <definedName name="netKWhSavingsSched">#REF!</definedName>
    <definedName name="netkWhsched">#REF!</definedName>
    <definedName name="netKWSavingsSched">#REF!</definedName>
    <definedName name="netkWsched">#REF!</definedName>
    <definedName name="NetnonAICSavingsSched">#REF!</definedName>
    <definedName name="NetPropaneSavingsSched">#REF!</definedName>
    <definedName name="netThermsched">#REF!</definedName>
    <definedName name="netThermschedSummer">#REF!</definedName>
    <definedName name="netThermschedWint">#REF!</definedName>
    <definedName name="netThermsSavingsSched">#REF!</definedName>
    <definedName name="netWaterSavingsSched">#REF!</definedName>
    <definedName name="netWatersched">#REF!</definedName>
    <definedName name="nom_dis_rate_paste">#REF!</definedName>
    <definedName name="nominal_discount_rate">#REF!</definedName>
    <definedName name="Nominal_Participant_Rate">#REF!</definedName>
    <definedName name="Nominal_Societal_Rate">#REF!</definedName>
    <definedName name="Nominal_WACC_Rate">#REF!</definedName>
    <definedName name="nonAICtherms_monetized">#REF!</definedName>
    <definedName name="_xlnm.Print_Area" localSheetId="1">'SAG Summary - EE Portfolio'!$A$1:$AI$32</definedName>
    <definedName name="print99" hidden="1">{#N/A,#N/A,FALSE,"Resid CPRIV";#N/A,#N/A,FALSE,"Comer_CPRIVKsum";#N/A,#N/A,FALSE,"General (2)";#N/A,#N/A,FALSE,"Oficial";#N/A,#N/A,FALSE,"Resumen";#N/A,#N/A,FALSE,"Escenarios"}</definedName>
    <definedName name="Program_BCRs">#REF!</definedName>
    <definedName name="Program_Expenditures">#REF!</definedName>
    <definedName name="Program_NTGRs">#REF!</definedName>
    <definedName name="program_year">#REF!</definedName>
    <definedName name="propane_monetized">#REF!</definedName>
    <definedName name="Propaneadder_monetized">#REF!</definedName>
    <definedName name="Qty">#REF!</definedName>
    <definedName name="report99" hidden="1">{"Rep 1",#N/A,FALSE,"Reports";"Rep 2",#N/A,FALSE,"Reports";"Rep 3",#N/A,FALSE,"Reports";"Rep 4",#N/A,FALSE,"Reports"}</definedName>
    <definedName name="Res_Line_Loss">#REF!</definedName>
    <definedName name="Res_Peak_Loss">#REF!</definedName>
    <definedName name="sadf4" hidden="1">{"Portrait",#N/A,FALSE,"BOILER";"boiler_1",#N/A,FALSE,"BOILER";"boiler_2",#N/A,FALSE,"BOILER";"boiler_3",#N/A,FALSE,"BOILER";"results",#N/A,FALSE,"BOILER"}</definedName>
    <definedName name="savTest">#REF!</definedName>
    <definedName name="soc_kWhNEIs_monetized">#REF!</definedName>
    <definedName name="Soc_propNEIs_monetized">#REF!</definedName>
    <definedName name="soc_thermNEIs_bus_monetized">#REF!</definedName>
    <definedName name="soc_thermNEIs_res_monetized">#REF!</definedName>
    <definedName name="Societal_NEI_Monetized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TD_monetized">#REF!</definedName>
    <definedName name="TextRefCopyRangeCount" hidden="1">5</definedName>
    <definedName name="therm_monetized">#REF!</definedName>
    <definedName name="total_prog_costs">#REF!</definedName>
    <definedName name="TRM">#REF!</definedName>
    <definedName name="w" hidden="1">{"Rep 1",#N/A,FALSE,"Reports";"Rep 2",#N/A,FALSE,"Reports";"Rep 3",#N/A,FALSE,"Reports";"Rep 4",#N/A,FALSE,"Reports"}</definedName>
    <definedName name="water_monetized">#REF!</definedName>
    <definedName name="Water_Savings_Monetized">#REF!</definedName>
    <definedName name="wkjetghjkwrh" hidden="1">{"Portrait",#N/A,FALSE,"BOILER";"boiler_1",#N/A,FALSE,"BOILER";"boiler_2",#N/A,FALSE,"BOILER";"boiler_3",#N/A,FALSE,"BOILER";"results",#N/A,FALSE,"BOILER"}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hidden="1">{#N/A,#N/A,FALSE,"Aging Summary";#N/A,#N/A,FALSE,"Ratio Analysis";#N/A,#N/A,FALSE,"Test 120 Day Accts";#N/A,#N/A,FALSE,"Tickmarks"}</definedName>
    <definedName name="wrn.Annual._.Report." hidden="1">{"ARPandL",#N/A,FALSE,"Report Annual";"ARCashflow",#N/A,FALSE,"Report Annual";"ARBalanceSheet",#N/A,FALSE,"Report Annual";"ARRatios",#N/A,FALSE,"Report Annual"}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hidden="1">{"FLUJO DE CAJA",#N/A,FALSE,"Hoja1";"ANEXOS FLUJO",#N/A,FALSE,"Hoja1"}</definedName>
    <definedName name="wrn.GANANCIAS._.Y._.PERDIDAS." hidden="1">{"GAN.Y PERD.RESUMIDO",#N/A,FALSE,"Hoja1";"GAN.Y PERD.DETALLADO",#N/A,FALSE,"Hoja1"}</definedName>
    <definedName name="wrn.Hardcopy." hidden="1">{"Portrait",#N/A,FALSE,"BOILER";"boiler_1",#N/A,FALSE,"BOILER";"boiler_2",#N/A,FALSE,"BOILER";"boiler_3",#N/A,FALSE,"BOILER";"results",#N/A,FALSE,"BOILER"}</definedName>
    <definedName name="wrn.Inputs." hidden="1">{"Inputs 1","Base",FALSE,"INPUTS";"Inputs 2","Base",FALSE,"INPUTS";"Inputs 3","Base",FALSE,"INPUTS";"Inputs 4","Base",FALSE,"INPUTS";"Inputs 5","Base",FALSE,"INPUTS"}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hidden="1">{"Rep 1",#N/A,FALSE,"Reports";"Rep 2",#N/A,FALSE,"Reports";"Rep 3",#N/A,FALSE,"Reports";"Rep 4",#N/A,FALSE,"Reports"}</definedName>
    <definedName name="wrn.SALARIOS._.PRESUPUESTO." hidden="1">{"SALARIOS",#N/A,FALSE,"Hoja3";"SUELDOS EMPLEADOS",#N/A,FALSE,"Hoja4";"SUELDOS EJECUTIVOS",#N/A,FALSE,"Hoja5"}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4Row" hidden="1">#REF!</definedName>
    <definedName name="XRefCopy5" hidden="1">#REF!</definedName>
    <definedName name="XRefCopy5Row" hidden="1">#REF!</definedName>
    <definedName name="XRefCopyRangeCount" hidden="1">5</definedName>
    <definedName name="XRefPaste1" hidden="1">#REF!</definedName>
    <definedName name="XRefPaste1Row" hidden="1">#REF!</definedName>
    <definedName name="XRefPasteRangeCount" hidden="1">1</definedName>
    <definedName name="xx" hidden="1">{#N/A,#N/A,FALSE,"Aging Summary";#N/A,#N/A,FALSE,"Ratio Analysis";#N/A,#N/A,FALSE,"Test 120 Day Accts";#N/A,#N/A,FALSE,"Tickmarks"}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ear">#REF!</definedName>
    <definedName name="z" hidden="1">{"Portrait",#N/A,FALSE,"BOILER";"boiler_1",#N/A,FALSE,"BOILER";"boiler_2",#N/A,FALSE,"BOILER";"boiler_3",#N/A,FALSE,"BOILER";"results",#N/A,FALSE,"BOILER"}</definedName>
    <definedName name="Z_0B113C9C_A1A9_11D3_A311_0008C739212F_.wvu.PrintArea" hidden="1">#REF!</definedName>
    <definedName name="Z_1C03E4A5_0E99_11D5_896C_00008646D7BA_.wvu.Rows" hidden="1">#REF!</definedName>
    <definedName name="Z_74BB7D31_A24A_11D3_95F1_000000000000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2" i="1" l="1"/>
  <c r="AF42" i="1"/>
  <c r="AE42" i="1"/>
  <c r="AE43" i="1"/>
  <c r="Z5" i="1"/>
  <c r="Z6" i="1"/>
  <c r="Z7" i="1"/>
  <c r="AB7" i="1" s="1"/>
  <c r="Z8" i="1"/>
  <c r="Z9" i="1"/>
  <c r="Z10" i="1"/>
  <c r="AB10" i="1" s="1"/>
  <c r="Z11" i="1"/>
  <c r="AC11" i="1" s="1"/>
  <c r="Z12" i="1"/>
  <c r="Z13" i="1"/>
  <c r="Z14" i="1"/>
  <c r="Z15" i="1"/>
  <c r="AB15" i="1" s="1"/>
  <c r="Z16" i="1"/>
  <c r="AC16" i="1" s="1"/>
  <c r="Z17" i="1"/>
  <c r="Z18" i="1"/>
  <c r="AB18" i="1" s="1"/>
  <c r="Z19" i="1"/>
  <c r="AB19" i="1" s="1"/>
  <c r="Z20" i="1"/>
  <c r="Z21" i="1"/>
  <c r="Z22" i="1"/>
  <c r="Z23" i="1"/>
  <c r="AB23" i="1" s="1"/>
  <c r="AB12" i="1"/>
  <c r="AB22" i="1"/>
  <c r="AB14" i="1"/>
  <c r="Z4" i="1"/>
  <c r="U6" i="1"/>
  <c r="X6" i="1" s="1"/>
  <c r="U7" i="1"/>
  <c r="W7" i="1" s="1"/>
  <c r="U8" i="1"/>
  <c r="X8" i="1" s="1"/>
  <c r="U9" i="1"/>
  <c r="W9" i="1" s="1"/>
  <c r="U10" i="1"/>
  <c r="W10" i="1" s="1"/>
  <c r="U11" i="1"/>
  <c r="W11" i="1" s="1"/>
  <c r="U12" i="1"/>
  <c r="U13" i="1"/>
  <c r="U14" i="1"/>
  <c r="U15" i="1"/>
  <c r="U16" i="1"/>
  <c r="U17" i="1"/>
  <c r="U18" i="1"/>
  <c r="U19" i="1"/>
  <c r="X19" i="1" s="1"/>
  <c r="U20" i="1"/>
  <c r="W20" i="1" s="1"/>
  <c r="U21" i="1"/>
  <c r="U22" i="1"/>
  <c r="U23" i="1"/>
  <c r="W23" i="1" s="1"/>
  <c r="W12" i="1"/>
  <c r="X7" i="1"/>
  <c r="W15" i="1"/>
  <c r="J42" i="1"/>
  <c r="J43" i="1" s="1"/>
  <c r="K42" i="1"/>
  <c r="K43" i="1" s="1"/>
  <c r="L42" i="1"/>
  <c r="L43" i="1" s="1"/>
  <c r="M42" i="1"/>
  <c r="M43" i="1" s="1"/>
  <c r="N42" i="1"/>
  <c r="N43" i="1" s="1"/>
  <c r="O42" i="1"/>
  <c r="O43" i="1" s="1"/>
  <c r="P42" i="1"/>
  <c r="P43" i="1" s="1"/>
  <c r="Q42" i="1"/>
  <c r="Q43" i="1" s="1"/>
  <c r="R42" i="1"/>
  <c r="S42" i="1"/>
  <c r="R43" i="1"/>
  <c r="S43" i="1"/>
  <c r="J36" i="1"/>
  <c r="K36" i="1"/>
  <c r="L36" i="1"/>
  <c r="M36" i="1"/>
  <c r="N36" i="1"/>
  <c r="O36" i="1"/>
  <c r="P36" i="1"/>
  <c r="Q36" i="1"/>
  <c r="R36" i="1"/>
  <c r="S36" i="1"/>
  <c r="J24" i="1"/>
  <c r="K24" i="1"/>
  <c r="L24" i="1"/>
  <c r="M24" i="1"/>
  <c r="N24" i="1"/>
  <c r="O24" i="1"/>
  <c r="P24" i="1"/>
  <c r="Q24" i="1"/>
  <c r="R24" i="1"/>
  <c r="S24" i="1"/>
  <c r="T24" i="1"/>
  <c r="J4" i="1"/>
  <c r="K4" i="1"/>
  <c r="L4" i="1"/>
  <c r="M4" i="1"/>
  <c r="N4" i="1"/>
  <c r="O4" i="1"/>
  <c r="P4" i="1"/>
  <c r="Q4" i="1"/>
  <c r="R4" i="1"/>
  <c r="S4" i="1"/>
  <c r="C43" i="1"/>
  <c r="D43" i="1"/>
  <c r="E43" i="1"/>
  <c r="F43" i="1"/>
  <c r="G43" i="1"/>
  <c r="C42" i="1"/>
  <c r="D42" i="1"/>
  <c r="E42" i="1"/>
  <c r="F42" i="1"/>
  <c r="G42" i="1"/>
  <c r="C24" i="1"/>
  <c r="Z24" i="1" s="1"/>
  <c r="D24" i="1"/>
  <c r="E24" i="1"/>
  <c r="F24" i="1"/>
  <c r="G24" i="1"/>
  <c r="C4" i="1"/>
  <c r="D4" i="1"/>
  <c r="E4" i="1"/>
  <c r="F4" i="1"/>
  <c r="G4" i="1"/>
  <c r="Z4" i="2"/>
  <c r="U4" i="2" s="1"/>
  <c r="AA4" i="2"/>
  <c r="V4" i="2" s="1"/>
  <c r="AC4" i="2"/>
  <c r="AE4" i="2"/>
  <c r="AF4" i="2"/>
  <c r="B4" i="1"/>
  <c r="I4" i="1"/>
  <c r="U5" i="1"/>
  <c r="W5" i="1" s="1"/>
  <c r="V5" i="1"/>
  <c r="AA5" i="1"/>
  <c r="AF5" i="1"/>
  <c r="AG5" i="1" s="1"/>
  <c r="V6" i="1"/>
  <c r="AA6" i="1"/>
  <c r="AF6" i="1"/>
  <c r="AH6" i="1" s="1"/>
  <c r="AG6" i="1"/>
  <c r="V7" i="1"/>
  <c r="AA7" i="1"/>
  <c r="AF7" i="1"/>
  <c r="AG7" i="1"/>
  <c r="AH7" i="1"/>
  <c r="V8" i="1"/>
  <c r="AA8" i="1"/>
  <c r="AF8" i="1"/>
  <c r="AG8" i="1" s="1"/>
  <c r="AH8" i="1"/>
  <c r="V9" i="1"/>
  <c r="AA9" i="1"/>
  <c r="AF9" i="1"/>
  <c r="AG9" i="1" s="1"/>
  <c r="V10" i="1"/>
  <c r="AA10" i="1"/>
  <c r="AF10" i="1"/>
  <c r="AH10" i="1" s="1"/>
  <c r="V11" i="1"/>
  <c r="AA11" i="1"/>
  <c r="AF11" i="1"/>
  <c r="AG11" i="1"/>
  <c r="AH11" i="1"/>
  <c r="V12" i="1"/>
  <c r="AA12" i="1"/>
  <c r="AF12" i="1"/>
  <c r="AG12" i="1" s="1"/>
  <c r="V13" i="1"/>
  <c r="AA13" i="1"/>
  <c r="AF13" i="1"/>
  <c r="AH13" i="1" s="1"/>
  <c r="AG13" i="1"/>
  <c r="V14" i="1"/>
  <c r="AA14" i="1"/>
  <c r="AF14" i="1"/>
  <c r="AG14" i="1"/>
  <c r="AH14" i="1"/>
  <c r="V15" i="1"/>
  <c r="AA15" i="1"/>
  <c r="AF15" i="1"/>
  <c r="AH15" i="1" s="1"/>
  <c r="AG15" i="1"/>
  <c r="V16" i="1"/>
  <c r="AA16" i="1"/>
  <c r="AF16" i="1"/>
  <c r="AG16" i="1"/>
  <c r="AH16" i="1"/>
  <c r="V17" i="1"/>
  <c r="AC17" i="1"/>
  <c r="AA17" i="1"/>
  <c r="AF17" i="1"/>
  <c r="AG17" i="1" s="1"/>
  <c r="V18" i="1"/>
  <c r="W18" i="1"/>
  <c r="AA18" i="1"/>
  <c r="AF18" i="1"/>
  <c r="AH18" i="1" s="1"/>
  <c r="AG18" i="1"/>
  <c r="V19" i="1"/>
  <c r="AA19" i="1"/>
  <c r="AF19" i="1"/>
  <c r="AG19" i="1" s="1"/>
  <c r="V20" i="1"/>
  <c r="AA20" i="1"/>
  <c r="AF20" i="1"/>
  <c r="AG20" i="1" s="1"/>
  <c r="AH20" i="1"/>
  <c r="V21" i="1"/>
  <c r="AA21" i="1"/>
  <c r="AF21" i="1"/>
  <c r="AG21" i="1" s="1"/>
  <c r="V22" i="1"/>
  <c r="AA22" i="1"/>
  <c r="AF22" i="1"/>
  <c r="AH22" i="1" s="1"/>
  <c r="AG22" i="1"/>
  <c r="V23" i="1"/>
  <c r="AA23" i="1"/>
  <c r="AF23" i="1"/>
  <c r="AG23" i="1" s="1"/>
  <c r="B24" i="1"/>
  <c r="I24" i="1"/>
  <c r="U25" i="1"/>
  <c r="V25" i="1"/>
  <c r="W25" i="1"/>
  <c r="Z25" i="1"/>
  <c r="AC25" i="1" s="1"/>
  <c r="AA25" i="1"/>
  <c r="AF25" i="1"/>
  <c r="AG25" i="1"/>
  <c r="AH25" i="1"/>
  <c r="U26" i="1"/>
  <c r="W26" i="1" s="1"/>
  <c r="V26" i="1"/>
  <c r="Z26" i="1"/>
  <c r="AC26" i="1" s="1"/>
  <c r="AA26" i="1"/>
  <c r="AB26" i="1"/>
  <c r="AF26" i="1"/>
  <c r="AG26" i="1" s="1"/>
  <c r="U27" i="1"/>
  <c r="V27" i="1"/>
  <c r="Z27" i="1"/>
  <c r="AA27" i="1"/>
  <c r="AF27" i="1"/>
  <c r="AH27" i="1" s="1"/>
  <c r="AG27" i="1"/>
  <c r="U28" i="1"/>
  <c r="V28" i="1"/>
  <c r="Z28" i="1"/>
  <c r="AB28" i="1" s="1"/>
  <c r="AA28" i="1"/>
  <c r="AF28" i="1"/>
  <c r="AG28" i="1"/>
  <c r="AH28" i="1"/>
  <c r="U29" i="1"/>
  <c r="W29" i="1" s="1"/>
  <c r="V29" i="1"/>
  <c r="X29" i="1" s="1"/>
  <c r="Z29" i="1"/>
  <c r="AA29" i="1"/>
  <c r="AB29" i="1"/>
  <c r="AF29" i="1"/>
  <c r="AH29" i="1" s="1"/>
  <c r="AG29" i="1"/>
  <c r="U30" i="1"/>
  <c r="V30" i="1"/>
  <c r="Z30" i="1"/>
  <c r="AC30" i="1" s="1"/>
  <c r="AA30" i="1"/>
  <c r="AB30" i="1"/>
  <c r="AF30" i="1"/>
  <c r="AG30" i="1"/>
  <c r="AH30" i="1"/>
  <c r="U31" i="1"/>
  <c r="V31" i="1"/>
  <c r="Z31" i="1"/>
  <c r="AA31" i="1"/>
  <c r="AF31" i="1"/>
  <c r="AG31" i="1" s="1"/>
  <c r="U32" i="1"/>
  <c r="V32" i="1"/>
  <c r="W32" i="1"/>
  <c r="Z32" i="1"/>
  <c r="AA32" i="1"/>
  <c r="AF32" i="1"/>
  <c r="AH32" i="1" s="1"/>
  <c r="AG32" i="1"/>
  <c r="U33" i="1"/>
  <c r="X33" i="1" s="1"/>
  <c r="V33" i="1"/>
  <c r="Z33" i="1"/>
  <c r="AA33" i="1"/>
  <c r="AC33" i="1" s="1"/>
  <c r="AB33" i="1"/>
  <c r="AF33" i="1"/>
  <c r="AG33" i="1" s="1"/>
  <c r="U34" i="1"/>
  <c r="V34" i="1"/>
  <c r="W34" i="1"/>
  <c r="X34" i="1"/>
  <c r="Z34" i="1"/>
  <c r="AA34" i="1"/>
  <c r="AF34" i="1"/>
  <c r="AG34" i="1" s="1"/>
  <c r="AH34" i="1"/>
  <c r="U35" i="1"/>
  <c r="X35" i="1" s="1"/>
  <c r="V35" i="1"/>
  <c r="Z35" i="1"/>
  <c r="AA35" i="1"/>
  <c r="AF35" i="1"/>
  <c r="AG35" i="1" s="1"/>
  <c r="B36" i="1"/>
  <c r="U36" i="1" s="1"/>
  <c r="C36" i="1"/>
  <c r="Z36" i="1" s="1"/>
  <c r="D36" i="1"/>
  <c r="E36" i="1"/>
  <c r="F36" i="1"/>
  <c r="G36" i="1"/>
  <c r="I36" i="1"/>
  <c r="I42" i="1" s="1"/>
  <c r="U37" i="1"/>
  <c r="W37" i="1" s="1"/>
  <c r="V37" i="1"/>
  <c r="Z37" i="1"/>
  <c r="AA37" i="1"/>
  <c r="AE37" i="1"/>
  <c r="AF37" i="1"/>
  <c r="U38" i="1"/>
  <c r="W38" i="1" s="1"/>
  <c r="V38" i="1"/>
  <c r="Z38" i="1"/>
  <c r="AA38" i="1"/>
  <c r="AB38" i="1"/>
  <c r="AE38" i="1"/>
  <c r="AG38" i="1" s="1"/>
  <c r="AF38" i="1"/>
  <c r="U39" i="1"/>
  <c r="V39" i="1"/>
  <c r="Z39" i="1"/>
  <c r="AA39" i="1"/>
  <c r="AB39" i="1"/>
  <c r="AE39" i="1"/>
  <c r="AF39" i="1"/>
  <c r="AG39" i="1"/>
  <c r="U40" i="1"/>
  <c r="V40" i="1"/>
  <c r="Z40" i="1"/>
  <c r="AB40" i="1" s="1"/>
  <c r="AA40" i="1"/>
  <c r="AE40" i="1"/>
  <c r="AF40" i="1"/>
  <c r="AG40" i="1"/>
  <c r="U41" i="1"/>
  <c r="W41" i="1" s="1"/>
  <c r="V41" i="1"/>
  <c r="Z41" i="1"/>
  <c r="AA41" i="1"/>
  <c r="AE41" i="1"/>
  <c r="AF41" i="1"/>
  <c r="AC12" i="1" l="1"/>
  <c r="AB16" i="1"/>
  <c r="AC15" i="1"/>
  <c r="AC19" i="1"/>
  <c r="X11" i="1"/>
  <c r="X22" i="1"/>
  <c r="X9" i="1"/>
  <c r="X15" i="1"/>
  <c r="X20" i="1"/>
  <c r="U4" i="1"/>
  <c r="AB27" i="1"/>
  <c r="W21" i="1"/>
  <c r="AB13" i="1"/>
  <c r="AG41" i="1"/>
  <c r="W40" i="1"/>
  <c r="X32" i="1"/>
  <c r="AF24" i="1"/>
  <c r="X18" i="1"/>
  <c r="W13" i="1"/>
  <c r="AB8" i="1"/>
  <c r="AC5" i="1"/>
  <c r="AB34" i="1"/>
  <c r="W33" i="1"/>
  <c r="AB31" i="1"/>
  <c r="AC28" i="1"/>
  <c r="AB25" i="1"/>
  <c r="AA24" i="1"/>
  <c r="AB24" i="1" s="1"/>
  <c r="AC22" i="1"/>
  <c r="AB20" i="1"/>
  <c r="W19" i="1"/>
  <c r="AC14" i="1"/>
  <c r="AB11" i="1"/>
  <c r="W8" i="1"/>
  <c r="AF36" i="1"/>
  <c r="AG36" i="1" s="1"/>
  <c r="W31" i="1"/>
  <c r="W22" i="1"/>
  <c r="W17" i="1"/>
  <c r="AG37" i="1"/>
  <c r="W28" i="1"/>
  <c r="AB9" i="1"/>
  <c r="X26" i="1"/>
  <c r="X12" i="1"/>
  <c r="W39" i="1"/>
  <c r="AB37" i="1"/>
  <c r="AB35" i="1"/>
  <c r="AH33" i="1"/>
  <c r="AC29" i="1"/>
  <c r="X25" i="1"/>
  <c r="V24" i="1"/>
  <c r="AB21" i="1"/>
  <c r="AH19" i="1"/>
  <c r="W6" i="1"/>
  <c r="AE36" i="1"/>
  <c r="W14" i="1"/>
  <c r="AB6" i="1"/>
  <c r="AB32" i="1"/>
  <c r="AC27" i="1"/>
  <c r="X21" i="1"/>
  <c r="AC13" i="1"/>
  <c r="AG10" i="1"/>
  <c r="AF4" i="1"/>
  <c r="AG4" i="1" s="1"/>
  <c r="AB4" i="1"/>
  <c r="AC7" i="1"/>
  <c r="W35" i="1"/>
  <c r="U24" i="1"/>
  <c r="X27" i="1"/>
  <c r="AC10" i="1"/>
  <c r="AB41" i="1"/>
  <c r="W30" i="1"/>
  <c r="W16" i="1"/>
  <c r="X10" i="1"/>
  <c r="V4" i="1"/>
  <c r="AG4" i="2"/>
  <c r="I43" i="1"/>
  <c r="AG24" i="1"/>
  <c r="AH24" i="1"/>
  <c r="W4" i="2"/>
  <c r="X4" i="2"/>
  <c r="AH4" i="2"/>
  <c r="V36" i="1"/>
  <c r="W36" i="1" s="1"/>
  <c r="AC31" i="1"/>
  <c r="X13" i="1"/>
  <c r="B42" i="1"/>
  <c r="AH35" i="1"/>
  <c r="AC32" i="1"/>
  <c r="X28" i="1"/>
  <c r="W27" i="1"/>
  <c r="AH21" i="1"/>
  <c r="AC18" i="1"/>
  <c r="AB17" i="1"/>
  <c r="X14" i="1"/>
  <c r="AH9" i="1"/>
  <c r="AC6" i="1"/>
  <c r="AB5" i="1"/>
  <c r="AA4" i="1"/>
  <c r="AC4" i="1" s="1"/>
  <c r="AA36" i="1"/>
  <c r="AB36" i="1" s="1"/>
  <c r="AC34" i="1"/>
  <c r="X30" i="1"/>
  <c r="AC20" i="1"/>
  <c r="X16" i="1"/>
  <c r="AC8" i="1"/>
  <c r="AC35" i="1"/>
  <c r="X31" i="1"/>
  <c r="AH26" i="1"/>
  <c r="AC21" i="1"/>
  <c r="X17" i="1"/>
  <c r="AH12" i="1"/>
  <c r="AC9" i="1"/>
  <c r="X5" i="1"/>
  <c r="AB4" i="2"/>
  <c r="AH31" i="1"/>
  <c r="AH17" i="1"/>
  <c r="AH5" i="1"/>
  <c r="V42" i="1" l="1"/>
  <c r="V43" i="1" s="1"/>
  <c r="X24" i="1"/>
  <c r="X4" i="1"/>
  <c r="AH4" i="1"/>
  <c r="W24" i="1"/>
  <c r="W4" i="1"/>
  <c r="AC24" i="1"/>
  <c r="AA42" i="1"/>
  <c r="AA43" i="1" s="1"/>
  <c r="B43" i="1"/>
  <c r="Z42" i="1"/>
  <c r="U42" i="1"/>
  <c r="AB42" i="1" l="1"/>
  <c r="AB43" i="1" s="1"/>
  <c r="Z43" i="1"/>
  <c r="AC43" i="1" s="1"/>
  <c r="AC42" i="1"/>
  <c r="AH42" i="1"/>
  <c r="AF43" i="1"/>
  <c r="AH43" i="1" s="1"/>
  <c r="AG43" i="1"/>
  <c r="W42" i="1"/>
  <c r="W43" i="1" s="1"/>
  <c r="X42" i="1"/>
  <c r="U43" i="1"/>
  <c r="X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Sellner</author>
  </authors>
  <commentList>
    <comment ref="AF4" authorId="0" shapeId="0" xr:uid="{E1915282-6B31-4DEF-8FBF-6C59A1A92FC6}">
      <text>
        <r>
          <rPr>
            <b/>
            <sz val="9"/>
            <color indexed="81"/>
            <rFont val="Tahoma"/>
            <family val="2"/>
          </rPr>
          <t>Tyler Sellner:</t>
        </r>
        <r>
          <rPr>
            <sz val="9"/>
            <color indexed="81"/>
            <rFont val="Tahoma"/>
            <family val="2"/>
          </rPr>
          <t xml:space="preserve">
For VO, we include incremental costs in the PAC test since these costs are borne by the utility.</t>
        </r>
      </text>
    </comment>
  </commentList>
</comments>
</file>

<file path=xl/sharedStrings.xml><?xml version="1.0" encoding="utf-8"?>
<sst xmlns="http://schemas.openxmlformats.org/spreadsheetml/2006/main" count="209" uniqueCount="114">
  <si>
    <t>AIC 2024 Portfolio</t>
  </si>
  <si>
    <t>N/A</t>
  </si>
  <si>
    <t>Program Implementation</t>
  </si>
  <si>
    <t>Administrative Expenses</t>
  </si>
  <si>
    <t>Marketing and Education</t>
  </si>
  <si>
    <t>EM&amp;V</t>
  </si>
  <si>
    <t>Market Development Initiative</t>
  </si>
  <si>
    <t>Portfolio Costs</t>
  </si>
  <si>
    <t>Market Transformation</t>
  </si>
  <si>
    <t>Streetlighting - Utility Owned</t>
  </si>
  <si>
    <t>Streetlighting - Municipality Owned</t>
  </si>
  <si>
    <t>Retro-Commissioning</t>
  </si>
  <si>
    <t>Small Business - Energy Performance</t>
  </si>
  <si>
    <t>Small Business - Direct Install</t>
  </si>
  <si>
    <t>Midstream - Food Service</t>
  </si>
  <si>
    <t>Midstream - HVAC</t>
  </si>
  <si>
    <t>Midstream - Lighting</t>
  </si>
  <si>
    <t>Custom</t>
  </si>
  <si>
    <t>Standard</t>
  </si>
  <si>
    <t>Business Program</t>
  </si>
  <si>
    <t>Non-Participant Spillover</t>
  </si>
  <si>
    <t>DDEP - High School Innovation</t>
  </si>
  <si>
    <t>DDEP - School Kits</t>
  </si>
  <si>
    <t>Single Family - Midstream HVAC</t>
  </si>
  <si>
    <t>Single Family - Home Efficiency</t>
  </si>
  <si>
    <t>Multifamily - Market Rate</t>
  </si>
  <si>
    <t>Public Housing</t>
  </si>
  <si>
    <t>Income Qualified - Electrification</t>
  </si>
  <si>
    <t>Income Qualified - Manufactured Homes</t>
  </si>
  <si>
    <t>Income Qualified - New Construction</t>
  </si>
  <si>
    <t>Income Qualified - Healthier Homes</t>
  </si>
  <si>
    <t>Income Qualified - Community Kits</t>
  </si>
  <si>
    <t>Income Qualified - Smart Savers</t>
  </si>
  <si>
    <t>Income Qualified - Multifamily</t>
  </si>
  <si>
    <t>Income Qualified - CAA</t>
  </si>
  <si>
    <t>Income Qualified - Single Family</t>
  </si>
  <si>
    <t>Income Qualified - Retail Products</t>
  </si>
  <si>
    <t>Retail Products</t>
  </si>
  <si>
    <t>Residential Program</t>
  </si>
  <si>
    <t>(ad)=(aa/ab)</t>
  </si>
  <si>
    <t>(ac)=(aa-ab)</t>
  </si>
  <si>
    <t>(ab) =(i+j+n+o+p+q)</t>
  </si>
  <si>
    <t>(aa) =(b+c)</t>
  </si>
  <si>
    <t>(z)=(w/x)</t>
  </si>
  <si>
    <t>(y)=(w-x)</t>
  </si>
  <si>
    <t>(x) =(h+i+j+k+l+n+o+r)</t>
  </si>
  <si>
    <t>(w) =(b+c+d+e+f)</t>
  </si>
  <si>
    <t>(v)=(s/t)</t>
  </si>
  <si>
    <t>(u)=(s-t)</t>
  </si>
  <si>
    <t>(t) =(h+i+j+k+l+m+n+o+r)</t>
  </si>
  <si>
    <t>(s) =(b+c+d+e+f+g)</t>
  </si>
  <si>
    <t>(r)</t>
  </si>
  <si>
    <t>(q)</t>
  </si>
  <si>
    <t>(p)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</si>
  <si>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</si>
  <si>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</si>
  <si>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</si>
  <si>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</si>
  <si>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</si>
  <si>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</si>
  <si>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</si>
  <si>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</si>
  <si>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</si>
  <si>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</si>
  <si>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</si>
  <si>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</si>
  <si>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</si>
  <si>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</si>
  <si>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</si>
  <si>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PAC Test Ratio</t>
  </si>
  <si>
    <t>PAC Test Net Benefits</t>
  </si>
  <si>
    <t>PAC Costs</t>
  </si>
  <si>
    <t>PAC Benefits</t>
  </si>
  <si>
    <t>IL TRC Test Ratio</t>
  </si>
  <si>
    <t>IL TRC Test Net Benefits</t>
  </si>
  <si>
    <t>IL TRC Costs</t>
  </si>
  <si>
    <t>IL TRC Benefits</t>
  </si>
  <si>
    <t>Incremental Costs (Net)</t>
  </si>
  <si>
    <t>Incentive Costs (Gas)</t>
  </si>
  <si>
    <t>Incentive Costs (Electric)</t>
  </si>
  <si>
    <t>Non-Incentive Costs (Gas)</t>
  </si>
  <si>
    <t>Non-Incentive Costs (Electric)</t>
  </si>
  <si>
    <t>Societal NEI Cost Changes</t>
  </si>
  <si>
    <t>GHG Reduction Cost Changes</t>
  </si>
  <si>
    <t>Avoided O&amp;M Cost Changes</t>
  </si>
  <si>
    <t>Water Cost Changes</t>
  </si>
  <si>
    <t>Other Fuel Cost Changes</t>
  </si>
  <si>
    <t>Electric Cost Changes</t>
  </si>
  <si>
    <r>
      <t xml:space="preserve">Utility Cost Test/Program Administrator Cost (PAC) Test, </t>
    </r>
    <r>
      <rPr>
        <i/>
        <sz val="10"/>
        <color theme="0"/>
        <rFont val="Franklin Gothic Medium"/>
        <family val="2"/>
      </rPr>
      <t>Dual Fuel Utility</t>
    </r>
  </si>
  <si>
    <t>IL Total Resource Cost (TRC) Test - without Societal NEIs</t>
  </si>
  <si>
    <t>IL Total Resource Cost (TRC) Test - with Societal NEIs</t>
  </si>
  <si>
    <t>Costs</t>
  </si>
  <si>
    <t>Benefits</t>
  </si>
  <si>
    <t>Program</t>
  </si>
  <si>
    <t>Voltage Optimization</t>
  </si>
  <si>
    <t>File Information</t>
  </si>
  <si>
    <t>File Name</t>
  </si>
  <si>
    <t>Author</t>
  </si>
  <si>
    <t>Purpose</t>
  </si>
  <si>
    <t>Last Updated</t>
  </si>
  <si>
    <t>Sheet Name</t>
  </si>
  <si>
    <t>Description</t>
  </si>
  <si>
    <t>File Info</t>
  </si>
  <si>
    <t>This tab</t>
  </si>
  <si>
    <t>SAG Summary - EE Portfolio</t>
  </si>
  <si>
    <t>SAG Summary - Voltage Opt.</t>
  </si>
  <si>
    <t>2024 Ameren Illinois Company (AIC) Portfolio Cost-Effectiveness Results</t>
  </si>
  <si>
    <t>Tyler Sellner, Sophie Hargrave, and Zach Ross (Opinion Dynamics)</t>
  </si>
  <si>
    <t>Cost-effectiveness results (including Illinois TRC and PAC/UCT) for the 2024 AIC portfolio</t>
  </si>
  <si>
    <t>SAG Summary spreadsheet for 2024 AIC EE Portfolio cost-effectiveness results (does not include Voltage Optimization)</t>
  </si>
  <si>
    <t>SAG Summary spreadsheet for 2024 AIC Voltage Optimization Program cost-effectiveness results</t>
  </si>
  <si>
    <t>AIC 2024 Portfolio (Income Qualified Excluded)</t>
  </si>
  <si>
    <r>
      <t xml:space="preserve">a </t>
    </r>
    <r>
      <rPr>
        <sz val="10"/>
        <color theme="1"/>
        <rFont val="Franklin Gothic Book"/>
        <family val="2"/>
      </rPr>
      <t>UCT benefits exclude benefits associated with propane and non-AIC gas, and therefore do not precisely equal the sum of columns B and C.</t>
    </r>
  </si>
  <si>
    <r>
      <t>(aa) =(b+c)</t>
    </r>
    <r>
      <rPr>
        <i/>
        <vertAlign val="superscript"/>
        <sz val="10"/>
        <rFont val="Franklin Gothic Medium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</si>
</sst>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3" x14ac:knownFonts="1">
    <font>
      <sz val="11"/>
      <color theme="1"/>
      <name val="Aptos Narrow"/>
      <family val="2"/>
      <scheme val="minor"/>
    </font>
    <font>
      <sz val="10"/>
      <color theme="1"/>
      <name val="Franklin Gothic Book"/>
      <family val="2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Franklin Gothic Book"/>
      <family val="2"/>
    </font>
    <font>
      <i/>
      <sz val="11"/>
      <color theme="1"/>
      <name val="Aptos Narrow"/>
      <family val="2"/>
      <scheme val="minor"/>
    </font>
    <font>
      <b/>
      <i/>
      <sz val="10"/>
      <color rgb="FF000000"/>
      <name val="Franklin Gothic Book"/>
      <family val="2"/>
    </font>
    <font>
      <i/>
      <sz val="10"/>
      <name val="Franklin Gothic Medium"/>
      <family val="2"/>
    </font>
    <font>
      <sz val="10"/>
      <color theme="0"/>
      <name val="Franklin Gothic Medium"/>
      <family val="2"/>
    </font>
    <font>
      <sz val="14"/>
      <color theme="1"/>
      <name val="Aptos Narrow"/>
      <family val="2"/>
      <scheme val="minor"/>
    </font>
    <font>
      <i/>
      <sz val="10"/>
      <color theme="0"/>
      <name val="Franklin Gothic Medium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rgb="FF4A4D56"/>
      <name val="Franklin Gothic Book"/>
      <family val="2"/>
    </font>
    <font>
      <sz val="10"/>
      <color rgb="FF4A4D56"/>
      <name val="Franklin Gothic Book"/>
      <family val="2"/>
    </font>
    <font>
      <b/>
      <sz val="10"/>
      <color rgb="FF4A4D56"/>
      <name val="Franklin Gothic Book"/>
      <family val="2"/>
    </font>
    <font>
      <sz val="11"/>
      <name val="Calibri"/>
      <family val="2"/>
    </font>
    <font>
      <b/>
      <i/>
      <sz val="10"/>
      <color rgb="FF4A4D56"/>
      <name val="Franklin Gothic Book"/>
      <family val="2"/>
    </font>
    <font>
      <sz val="11"/>
      <color rgb="FF4A4D56"/>
      <name val="Times New Roman"/>
      <family val="1"/>
    </font>
    <font>
      <sz val="10"/>
      <color rgb="FF4A4D56"/>
      <name val="Franklin Gothic Medium"/>
      <family val="2"/>
    </font>
    <font>
      <sz val="10"/>
      <color rgb="FF000000"/>
      <name val="Franklin Gothic Medium"/>
      <family val="2"/>
    </font>
    <font>
      <vertAlign val="superscript"/>
      <sz val="10"/>
      <color theme="1"/>
      <name val="Franklin Gothic Book"/>
      <family val="2"/>
    </font>
    <font>
      <i/>
      <vertAlign val="superscript"/>
      <sz val="10"/>
      <name val="Franklin Gothic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5357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rgb="FF4D4D4F"/>
      </left>
      <right style="thin">
        <color rgb="FF4D4D4F"/>
      </right>
      <top/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medium">
        <color rgb="FF4D4D4F"/>
      </top>
      <bottom style="thin">
        <color rgb="FF4D4D4F"/>
      </bottom>
      <diagonal/>
    </border>
    <border>
      <left/>
      <right style="thin">
        <color rgb="FF4D4D4F"/>
      </right>
      <top style="medium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medium">
        <color indexed="64"/>
      </bottom>
      <diagonal/>
    </border>
    <border>
      <left/>
      <right style="thin">
        <color rgb="FF4D4D4F"/>
      </right>
      <top/>
      <bottom/>
      <diagonal/>
    </border>
    <border>
      <left/>
      <right style="thin">
        <color rgb="FF4D4D4F"/>
      </right>
      <top style="thin">
        <color rgb="FF4D4D4F"/>
      </top>
      <bottom style="thin">
        <color rgb="FF4D4D4F"/>
      </bottom>
      <diagonal/>
    </border>
    <border>
      <left/>
      <right/>
      <top style="thin">
        <color rgb="FF4D4D4F"/>
      </top>
      <bottom style="thin">
        <color rgb="FF4D4D4F"/>
      </bottom>
      <diagonal/>
    </border>
    <border>
      <left style="thin">
        <color rgb="FF4D4D4F"/>
      </left>
      <right/>
      <top style="thin">
        <color rgb="FF4D4D4F"/>
      </top>
      <bottom style="thin">
        <color rgb="FF4D4D4F"/>
      </bottom>
      <diagonal/>
    </border>
    <border>
      <left style="thin">
        <color rgb="FF4D4D4F"/>
      </left>
      <right/>
      <top style="thin">
        <color rgb="FF4D4D4F"/>
      </top>
      <bottom/>
      <diagonal/>
    </border>
    <border>
      <left style="thin">
        <color rgb="FF4D4D4F"/>
      </left>
      <right style="thin">
        <color rgb="FF4D4D4F"/>
      </right>
      <top/>
      <bottom style="thin">
        <color indexed="64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indexed="64"/>
      </bottom>
      <diagonal/>
    </border>
    <border>
      <left/>
      <right style="thin">
        <color rgb="FF4D4D4F"/>
      </right>
      <top style="thin">
        <color rgb="FF4D4D4F"/>
      </top>
      <bottom/>
      <diagonal/>
    </border>
    <border>
      <left/>
      <right/>
      <top style="thin">
        <color rgb="FF4D4D4F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6" fillId="0" borderId="0"/>
    <xf numFmtId="0" fontId="2" fillId="0" borderId="0"/>
  </cellStyleXfs>
  <cellXfs count="8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5" fillId="0" borderId="0" xfId="0" applyFont="1"/>
    <xf numFmtId="0" fontId="6" fillId="2" borderId="4" xfId="0" applyFont="1" applyFill="1" applyBorder="1"/>
    <xf numFmtId="0" fontId="4" fillId="2" borderId="4" xfId="0" applyFont="1" applyFill="1" applyBorder="1"/>
    <xf numFmtId="0" fontId="6" fillId="2" borderId="8" xfId="0" applyFont="1" applyFill="1" applyBorder="1"/>
    <xf numFmtId="0" fontId="5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/>
    <xf numFmtId="0" fontId="4" fillId="2" borderId="5" xfId="0" applyFont="1" applyFill="1" applyBorder="1"/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4" fillId="2" borderId="12" xfId="0" applyFont="1" applyFill="1" applyBorder="1"/>
    <xf numFmtId="0" fontId="8" fillId="3" borderId="5" xfId="0" applyFont="1" applyFill="1" applyBorder="1" applyAlignment="1">
      <alignment horizontal="center" vertical="center"/>
    </xf>
    <xf numFmtId="0" fontId="4" fillId="2" borderId="13" xfId="0" applyFont="1" applyFill="1" applyBorder="1"/>
    <xf numFmtId="164" fontId="14" fillId="0" borderId="14" xfId="1" applyNumberFormat="1" applyFont="1" applyBorder="1"/>
    <xf numFmtId="164" fontId="15" fillId="2" borderId="13" xfId="0" applyNumberFormat="1" applyFont="1" applyFill="1" applyBorder="1"/>
    <xf numFmtId="0" fontId="15" fillId="2" borderId="13" xfId="0" applyFont="1" applyFill="1" applyBorder="1"/>
    <xf numFmtId="2" fontId="14" fillId="0" borderId="14" xfId="0" applyNumberFormat="1" applyFont="1" applyBorder="1"/>
    <xf numFmtId="0" fontId="7" fillId="4" borderId="6" xfId="0" applyFont="1" applyFill="1" applyBorder="1" applyAlignment="1">
      <alignment horizontal="center" vertical="center"/>
    </xf>
    <xf numFmtId="0" fontId="16" fillId="5" borderId="0" xfId="2" applyFill="1"/>
    <xf numFmtId="0" fontId="0" fillId="5" borderId="0" xfId="0" applyFill="1"/>
    <xf numFmtId="0" fontId="8" fillId="6" borderId="12" xfId="3" applyFont="1" applyFill="1" applyBorder="1" applyAlignment="1">
      <alignment horizontal="left" wrapText="1"/>
    </xf>
    <xf numFmtId="0" fontId="8" fillId="6" borderId="15" xfId="3" applyFont="1" applyFill="1" applyBorder="1" applyAlignment="1">
      <alignment horizontal="left" wrapText="1"/>
    </xf>
    <xf numFmtId="0" fontId="14" fillId="5" borderId="6" xfId="3" applyFont="1" applyFill="1" applyBorder="1"/>
    <xf numFmtId="14" fontId="14" fillId="5" borderId="6" xfId="3" applyNumberFormat="1" applyFont="1" applyFill="1" applyBorder="1" applyAlignment="1">
      <alignment horizontal="left"/>
    </xf>
    <xf numFmtId="0" fontId="8" fillId="6" borderId="5" xfId="3" applyFont="1" applyFill="1" applyBorder="1" applyAlignment="1">
      <alignment horizontal="left" wrapText="1"/>
    </xf>
    <xf numFmtId="0" fontId="14" fillId="5" borderId="5" xfId="3" applyFont="1" applyFill="1" applyBorder="1"/>
    <xf numFmtId="0" fontId="14" fillId="5" borderId="6" xfId="2" applyFont="1" applyFill="1" applyBorder="1"/>
    <xf numFmtId="0" fontId="7" fillId="4" borderId="5" xfId="0" applyFont="1" applyFill="1" applyBorder="1" applyAlignment="1">
      <alignment horizontal="center" vertical="center"/>
    </xf>
    <xf numFmtId="0" fontId="14" fillId="0" borderId="6" xfId="0" applyFont="1" applyBorder="1"/>
    <xf numFmtId="164" fontId="14" fillId="0" borderId="9" xfId="1" applyNumberFormat="1" applyFont="1" applyBorder="1"/>
    <xf numFmtId="164" fontId="14" fillId="0" borderId="6" xfId="1" applyNumberFormat="1" applyFont="1" applyBorder="1"/>
    <xf numFmtId="164" fontId="15" fillId="2" borderId="4" xfId="0" applyNumberFormat="1" applyFont="1" applyFill="1" applyBorder="1"/>
    <xf numFmtId="2" fontId="14" fillId="0" borderId="6" xfId="0" applyNumberFormat="1" applyFont="1" applyBorder="1"/>
    <xf numFmtId="0" fontId="15" fillId="2" borderId="4" xfId="0" applyFont="1" applyFill="1" applyBorder="1"/>
    <xf numFmtId="2" fontId="14" fillId="0" borderId="1" xfId="0" applyNumberFormat="1" applyFont="1" applyBorder="1"/>
    <xf numFmtId="0" fontId="13" fillId="0" borderId="1" xfId="0" applyFont="1" applyBorder="1" applyAlignment="1">
      <alignment horizontal="left" indent="1"/>
    </xf>
    <xf numFmtId="164" fontId="13" fillId="0" borderId="6" xfId="1" applyNumberFormat="1" applyFont="1" applyBorder="1"/>
    <xf numFmtId="164" fontId="17" fillId="2" borderId="4" xfId="0" applyNumberFormat="1" applyFont="1" applyFill="1" applyBorder="1"/>
    <xf numFmtId="164" fontId="13" fillId="0" borderId="6" xfId="1" applyNumberFormat="1" applyFont="1" applyFill="1" applyBorder="1"/>
    <xf numFmtId="2" fontId="13" fillId="0" borderId="6" xfId="0" applyNumberFormat="1" applyFont="1" applyBorder="1"/>
    <xf numFmtId="0" fontId="17" fillId="2" borderId="4" xfId="0" applyFont="1" applyFill="1" applyBorder="1"/>
    <xf numFmtId="2" fontId="13" fillId="0" borderId="1" xfId="0" applyNumberFormat="1" applyFont="1" applyBorder="1"/>
    <xf numFmtId="0" fontId="13" fillId="0" borderId="6" xfId="0" applyFont="1" applyBorder="1" applyAlignment="1">
      <alignment horizontal="left" indent="1"/>
    </xf>
    <xf numFmtId="0" fontId="13" fillId="0" borderId="5" xfId="0" applyFont="1" applyBorder="1" applyAlignment="1">
      <alignment horizontal="left" indent="1"/>
    </xf>
    <xf numFmtId="164" fontId="13" fillId="0" borderId="5" xfId="1" applyNumberFormat="1" applyFont="1" applyBorder="1"/>
    <xf numFmtId="2" fontId="13" fillId="0" borderId="6" xfId="0" applyNumberFormat="1" applyFont="1" applyBorder="1" applyAlignment="1">
      <alignment horizontal="right"/>
    </xf>
    <xf numFmtId="2" fontId="13" fillId="0" borderId="7" xfId="0" applyNumberFormat="1" applyFont="1" applyBorder="1" applyAlignment="1">
      <alignment horizontal="right"/>
    </xf>
    <xf numFmtId="0" fontId="14" fillId="0" borderId="2" xfId="0" applyFont="1" applyBorder="1"/>
    <xf numFmtId="164" fontId="14" fillId="0" borderId="2" xfId="1" applyNumberFormat="1" applyFont="1" applyBorder="1"/>
    <xf numFmtId="164" fontId="14" fillId="0" borderId="1" xfId="1" applyNumberFormat="1" applyFont="1" applyBorder="1"/>
    <xf numFmtId="2" fontId="14" fillId="0" borderId="2" xfId="0" applyNumberFormat="1" applyFont="1" applyBorder="1"/>
    <xf numFmtId="2" fontId="13" fillId="0" borderId="5" xfId="0" applyNumberFormat="1" applyFont="1" applyBorder="1"/>
    <xf numFmtId="2" fontId="13" fillId="0" borderId="7" xfId="0" applyNumberFormat="1" applyFont="1" applyBorder="1"/>
    <xf numFmtId="2" fontId="14" fillId="0" borderId="2" xfId="0" applyNumberFormat="1" applyFont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2" fontId="13" fillId="0" borderId="1" xfId="0" applyNumberFormat="1" applyFont="1" applyBorder="1" applyAlignment="1">
      <alignment horizontal="right"/>
    </xf>
    <xf numFmtId="2" fontId="13" fillId="0" borderId="5" xfId="0" applyNumberFormat="1" applyFont="1" applyBorder="1" applyAlignment="1">
      <alignment horizontal="right"/>
    </xf>
    <xf numFmtId="0" fontId="18" fillId="0" borderId="0" xfId="0" applyFont="1"/>
    <xf numFmtId="0" fontId="19" fillId="0" borderId="2" xfId="0" applyFont="1" applyBorder="1"/>
    <xf numFmtId="164" fontId="19" fillId="0" borderId="2" xfId="1" applyNumberFormat="1" applyFont="1" applyBorder="1"/>
    <xf numFmtId="164" fontId="19" fillId="2" borderId="1" xfId="0" applyNumberFormat="1" applyFont="1" applyFill="1" applyBorder="1"/>
    <xf numFmtId="164" fontId="19" fillId="0" borderId="3" xfId="1" applyNumberFormat="1" applyFont="1" applyBorder="1"/>
    <xf numFmtId="2" fontId="19" fillId="0" borderId="2" xfId="0" applyNumberFormat="1" applyFont="1" applyBorder="1"/>
    <xf numFmtId="0" fontId="19" fillId="2" borderId="1" xfId="0" applyFont="1" applyFill="1" applyBorder="1"/>
    <xf numFmtId="164" fontId="19" fillId="0" borderId="2" xfId="1" applyNumberFormat="1" applyFont="1" applyBorder="1" applyAlignment="1">
      <alignment horizontal="right"/>
    </xf>
    <xf numFmtId="0" fontId="20" fillId="2" borderId="1" xfId="0" applyFont="1" applyFill="1" applyBorder="1"/>
    <xf numFmtId="164" fontId="19" fillId="0" borderId="2" xfId="1" applyNumberFormat="1" applyFont="1" applyFill="1" applyBorder="1" applyAlignment="1">
      <alignment horizontal="right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4" fontId="14" fillId="0" borderId="6" xfId="1" applyNumberFormat="1" applyFont="1" applyBorder="1" applyAlignment="1">
      <alignment horizontal="right"/>
    </xf>
    <xf numFmtId="164" fontId="13" fillId="0" borderId="6" xfId="1" applyNumberFormat="1" applyFont="1" applyBorder="1" applyAlignment="1">
      <alignment horizontal="right"/>
    </xf>
    <xf numFmtId="164" fontId="13" fillId="0" borderId="7" xfId="1" applyNumberFormat="1" applyFont="1" applyBorder="1" applyAlignment="1">
      <alignment horizontal="right"/>
    </xf>
    <xf numFmtId="164" fontId="14" fillId="0" borderId="1" xfId="1" applyNumberFormat="1" applyFont="1" applyBorder="1" applyAlignment="1">
      <alignment horizontal="right"/>
    </xf>
    <xf numFmtId="164" fontId="13" fillId="0" borderId="5" xfId="1" applyNumberFormat="1" applyFont="1" applyBorder="1" applyAlignment="1">
      <alignment horizontal="right"/>
    </xf>
    <xf numFmtId="164" fontId="13" fillId="0" borderId="7" xfId="1" applyNumberFormat="1" applyFont="1" applyBorder="1"/>
    <xf numFmtId="164" fontId="13" fillId="0" borderId="1" xfId="1" applyNumberFormat="1" applyFont="1" applyBorder="1" applyAlignment="1">
      <alignment horizontal="right"/>
    </xf>
    <xf numFmtId="164" fontId="14" fillId="0" borderId="1" xfId="1" applyNumberFormat="1" applyFont="1" applyFill="1" applyBorder="1" applyAlignment="1">
      <alignment horizontal="right"/>
    </xf>
    <xf numFmtId="0" fontId="14" fillId="0" borderId="14" xfId="0" applyFont="1" applyBorder="1" applyAlignment="1">
      <alignment vertical="center"/>
    </xf>
  </cellXfs>
  <cellStyles count="4">
    <cellStyle name="Currency" xfId="1" builtinId="4"/>
    <cellStyle name="Normal" xfId="0" builtinId="0"/>
    <cellStyle name="Normal 10" xfId="3" xr:uid="{7EF34FE0-373E-4660-B324-D9B8ED5DA61E}"/>
    <cellStyle name="Normal 4" xfId="2" xr:uid="{F569D0BB-9D0C-403E-B816-776D7EE7E03B}"/>
  </cellStyles>
  <dxfs count="0"/>
  <tableStyles count="0" defaultTableStyle="TableStyleMedium2" defaultPivotStyle="PivotStyleLight16"/>
  <colors>
    <mruColors>
      <color rgb="FF4A4D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85724</xdr:colOff>
      <xdr:row>0</xdr:row>
      <xdr:rowOff>142874</xdr:rowOff>
    </xdr:from>
    <xdr:ext cx="2946382" cy="914400"/>
    <xdr:pic>
      <xdr:nvPicPr>
        <xdr:cNvPr id="2" name="Picture 1" descr="http://odc-web:85/Marketing/Branding/Logo%20cropped_web.jpg">
          <a:extLst>
            <a:ext uri="{FF2B5EF4-FFF2-40B4-BE49-F238E27FC236}">
              <a16:creationId xmlns:a16="http://schemas.microsoft.com/office/drawing/2014/main" id="{F58EFD39-5B2B-41E7-A8AD-CFFA578D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142874"/>
          <a:ext cx="2946382" cy="914400"/>
        </a:xfrm>
        <a:prstGeom prst="rect">
          <a:avLst/>
        </a:prstGeom>
        <a:noFill/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rgbClr val="4A4D56"/>
      </a:dk1>
      <a:lt1>
        <a:srgbClr val="FFFFFF"/>
      </a:lt1>
      <a:dk2>
        <a:srgbClr val="053572"/>
      </a:dk2>
      <a:lt2>
        <a:srgbClr val="FFFFFF"/>
      </a:lt2>
      <a:accent1>
        <a:srgbClr val="172B54"/>
      </a:accent1>
      <a:accent2>
        <a:srgbClr val="265EAC"/>
      </a:accent2>
      <a:accent3>
        <a:srgbClr val="1FA9E1"/>
      </a:accent3>
      <a:accent4>
        <a:srgbClr val="7E83C0"/>
      </a:accent4>
      <a:accent5>
        <a:srgbClr val="5661AC"/>
      </a:accent5>
      <a:accent6>
        <a:srgbClr val="FFDFB8"/>
      </a:accent6>
      <a:hlink>
        <a:srgbClr val="4087C7"/>
      </a:hlink>
      <a:folHlink>
        <a:srgbClr val="A1CBE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D1A4-7A7E-4AA0-AA5E-FBAC7E768AD2}">
  <sheetPr>
    <tabColor theme="4"/>
  </sheetPr>
  <dimension ref="A1:B16"/>
  <sheetViews>
    <sheetView tabSelected="1" workbookViewId="0">
      <selection activeCell="B21" sqref="B21"/>
    </sheetView>
  </sheetViews>
  <sheetFormatPr defaultRowHeight="15" x14ac:dyDescent="0.25"/>
  <cols>
    <col min="1" max="1" width="23.140625" style="27" bestFit="1" customWidth="1"/>
    <col min="2" max="2" width="107.140625" style="27" bestFit="1" customWidth="1"/>
    <col min="3" max="16384" width="9.140625" style="27"/>
  </cols>
  <sheetData>
    <row r="1" spans="1:2" x14ac:dyDescent="0.25">
      <c r="A1" s="26"/>
      <c r="B1" s="26"/>
    </row>
    <row r="2" spans="1:2" x14ac:dyDescent="0.25">
      <c r="A2" s="26"/>
      <c r="B2"/>
    </row>
    <row r="3" spans="1:2" x14ac:dyDescent="0.25">
      <c r="A3" s="26"/>
      <c r="B3" s="26"/>
    </row>
    <row r="4" spans="1:2" x14ac:dyDescent="0.25">
      <c r="A4" s="26"/>
      <c r="B4" s="26"/>
    </row>
    <row r="5" spans="1:2" x14ac:dyDescent="0.25">
      <c r="A5" s="26"/>
      <c r="B5" s="26"/>
    </row>
    <row r="6" spans="1:2" x14ac:dyDescent="0.25">
      <c r="A6" s="26"/>
      <c r="B6" s="26"/>
    </row>
    <row r="7" spans="1:2" x14ac:dyDescent="0.25">
      <c r="A7" s="28" t="s">
        <v>95</v>
      </c>
      <c r="B7" s="29"/>
    </row>
    <row r="8" spans="1:2" x14ac:dyDescent="0.25">
      <c r="A8" s="30" t="s">
        <v>96</v>
      </c>
      <c r="B8" s="30" t="s">
        <v>106</v>
      </c>
    </row>
    <row r="9" spans="1:2" x14ac:dyDescent="0.25">
      <c r="A9" s="30" t="s">
        <v>97</v>
      </c>
      <c r="B9" s="30" t="s">
        <v>107</v>
      </c>
    </row>
    <row r="10" spans="1:2" x14ac:dyDescent="0.25">
      <c r="A10" s="30" t="s">
        <v>98</v>
      </c>
      <c r="B10" s="30" t="s">
        <v>108</v>
      </c>
    </row>
    <row r="11" spans="1:2" x14ac:dyDescent="0.25">
      <c r="A11" s="30" t="s">
        <v>99</v>
      </c>
      <c r="B11" s="31">
        <v>45432</v>
      </c>
    </row>
    <row r="12" spans="1:2" x14ac:dyDescent="0.25">
      <c r="A12" s="26"/>
      <c r="B12" s="26"/>
    </row>
    <row r="13" spans="1:2" x14ac:dyDescent="0.25">
      <c r="A13" s="32" t="s">
        <v>100</v>
      </c>
      <c r="B13" s="32" t="s">
        <v>101</v>
      </c>
    </row>
    <row r="14" spans="1:2" x14ac:dyDescent="0.25">
      <c r="A14" s="33" t="s">
        <v>102</v>
      </c>
      <c r="B14" s="33" t="s">
        <v>103</v>
      </c>
    </row>
    <row r="15" spans="1:2" x14ac:dyDescent="0.25">
      <c r="A15" s="34" t="s">
        <v>104</v>
      </c>
      <c r="B15" s="34" t="s">
        <v>109</v>
      </c>
    </row>
    <row r="16" spans="1:2" x14ac:dyDescent="0.25">
      <c r="A16" s="34" t="s">
        <v>105</v>
      </c>
      <c r="B16" s="34" t="s">
        <v>110</v>
      </c>
    </row>
  </sheetData>
  <mergeCells count="1">
    <mergeCell ref="A7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B425D-42E9-4234-AE48-FAE2292F14A6}">
  <sheetPr>
    <pageSetUpPr fitToPage="1"/>
  </sheetPr>
  <dimension ref="A1:AI4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F13" sqref="AF13"/>
    </sheetView>
  </sheetViews>
  <sheetFormatPr defaultRowHeight="15" x14ac:dyDescent="0.25"/>
  <cols>
    <col min="1" max="1" width="45.7109375" bestFit="1" customWidth="1"/>
    <col min="2" max="7" width="16.85546875" customWidth="1"/>
    <col min="8" max="8" width="2.140625" customWidth="1"/>
    <col min="9" max="19" width="16.85546875" customWidth="1"/>
    <col min="20" max="20" width="2.140625" customWidth="1"/>
    <col min="21" max="21" width="25.140625" customWidth="1"/>
    <col min="22" max="22" width="27.7109375" customWidth="1"/>
    <col min="23" max="23" width="17.28515625" customWidth="1"/>
    <col min="24" max="24" width="14.28515625" customWidth="1"/>
    <col min="25" max="25" width="2.140625" customWidth="1"/>
    <col min="26" max="26" width="22.85546875" customWidth="1"/>
    <col min="27" max="27" width="25" customWidth="1"/>
    <col min="28" max="28" width="19.85546875" customWidth="1"/>
    <col min="29" max="29" width="14.140625" customWidth="1"/>
    <col min="30" max="30" width="2.140625" customWidth="1"/>
    <col min="31" max="31" width="22.28515625" bestFit="1" customWidth="1"/>
    <col min="32" max="32" width="18.5703125" bestFit="1" customWidth="1"/>
    <col min="33" max="33" width="21" customWidth="1"/>
    <col min="34" max="34" width="15.5703125" customWidth="1"/>
    <col min="35" max="35" width="2.140625" customWidth="1"/>
  </cols>
  <sheetData>
    <row r="1" spans="1:35" s="13" customFormat="1" ht="18.75" x14ac:dyDescent="0.3">
      <c r="A1" s="19" t="s">
        <v>93</v>
      </c>
      <c r="B1" s="17" t="s">
        <v>92</v>
      </c>
      <c r="C1" s="16"/>
      <c r="D1" s="16"/>
      <c r="E1" s="16"/>
      <c r="F1" s="16"/>
      <c r="G1" s="15"/>
      <c r="H1" s="14"/>
      <c r="I1" s="17" t="s">
        <v>91</v>
      </c>
      <c r="J1" s="16"/>
      <c r="K1" s="16"/>
      <c r="L1" s="16"/>
      <c r="M1" s="16"/>
      <c r="N1" s="16"/>
      <c r="O1" s="16"/>
      <c r="P1" s="16"/>
      <c r="Q1" s="16"/>
      <c r="R1" s="16"/>
      <c r="S1" s="15"/>
      <c r="T1" s="14"/>
      <c r="U1" s="17" t="s">
        <v>90</v>
      </c>
      <c r="V1" s="16"/>
      <c r="W1" s="16"/>
      <c r="X1" s="15"/>
      <c r="Y1" s="18"/>
      <c r="Z1" s="17" t="s">
        <v>89</v>
      </c>
      <c r="AA1" s="16"/>
      <c r="AB1" s="16"/>
      <c r="AC1" s="15"/>
      <c r="AD1" s="14"/>
      <c r="AE1" s="17" t="s">
        <v>88</v>
      </c>
      <c r="AF1" s="16"/>
      <c r="AG1" s="16"/>
      <c r="AH1" s="15"/>
      <c r="AI1" s="14"/>
    </row>
    <row r="2" spans="1:35" ht="27" x14ac:dyDescent="0.25">
      <c r="A2" s="12"/>
      <c r="B2" s="11" t="s">
        <v>87</v>
      </c>
      <c r="C2" s="9" t="s">
        <v>86</v>
      </c>
      <c r="D2" s="9" t="s">
        <v>85</v>
      </c>
      <c r="E2" s="9" t="s">
        <v>84</v>
      </c>
      <c r="F2" s="9" t="s">
        <v>83</v>
      </c>
      <c r="G2" s="9" t="s">
        <v>82</v>
      </c>
      <c r="H2" s="5"/>
      <c r="I2" s="11" t="s">
        <v>87</v>
      </c>
      <c r="J2" s="9" t="s">
        <v>86</v>
      </c>
      <c r="K2" s="9" t="s">
        <v>85</v>
      </c>
      <c r="L2" s="9" t="s">
        <v>84</v>
      </c>
      <c r="M2" s="9" t="s">
        <v>83</v>
      </c>
      <c r="N2" s="9" t="s">
        <v>82</v>
      </c>
      <c r="O2" s="10" t="s">
        <v>81</v>
      </c>
      <c r="P2" s="10" t="s">
        <v>80</v>
      </c>
      <c r="Q2" s="10" t="s">
        <v>79</v>
      </c>
      <c r="R2" s="10" t="s">
        <v>78</v>
      </c>
      <c r="S2" s="10" t="s">
        <v>77</v>
      </c>
      <c r="T2" s="5"/>
      <c r="U2" s="9" t="s">
        <v>76</v>
      </c>
      <c r="V2" s="9" t="s">
        <v>75</v>
      </c>
      <c r="W2" s="9" t="s">
        <v>74</v>
      </c>
      <c r="X2" s="9" t="s">
        <v>73</v>
      </c>
      <c r="Y2" s="5"/>
      <c r="Z2" s="9" t="s">
        <v>76</v>
      </c>
      <c r="AA2" s="9" t="s">
        <v>75</v>
      </c>
      <c r="AB2" s="9" t="s">
        <v>74</v>
      </c>
      <c r="AC2" s="9" t="s">
        <v>73</v>
      </c>
      <c r="AD2" s="5"/>
      <c r="AE2" s="8" t="s">
        <v>72</v>
      </c>
      <c r="AF2" s="8" t="s">
        <v>71</v>
      </c>
      <c r="AG2" s="8" t="s">
        <v>70</v>
      </c>
      <c r="AH2" s="8" t="s">
        <v>69</v>
      </c>
      <c r="AI2" s="5"/>
    </row>
    <row r="3" spans="1:35" s="7" customFormat="1" x14ac:dyDescent="0.25">
      <c r="A3" s="35" t="s">
        <v>68</v>
      </c>
      <c r="B3" s="25" t="s">
        <v>67</v>
      </c>
      <c r="C3" s="25" t="s">
        <v>66</v>
      </c>
      <c r="D3" s="25" t="s">
        <v>65</v>
      </c>
      <c r="E3" s="25" t="s">
        <v>64</v>
      </c>
      <c r="F3" s="25" t="s">
        <v>63</v>
      </c>
      <c r="G3" s="25" t="s">
        <v>62</v>
      </c>
      <c r="H3" s="5"/>
      <c r="I3" s="25" t="s">
        <v>61</v>
      </c>
      <c r="J3" s="25" t="s">
        <v>60</v>
      </c>
      <c r="K3" s="25" t="s">
        <v>59</v>
      </c>
      <c r="L3" s="25" t="s">
        <v>58</v>
      </c>
      <c r="M3" s="25" t="s">
        <v>57</v>
      </c>
      <c r="N3" s="25" t="s">
        <v>56</v>
      </c>
      <c r="O3" s="25" t="s">
        <v>55</v>
      </c>
      <c r="P3" s="25" t="s">
        <v>54</v>
      </c>
      <c r="Q3" s="25" t="s">
        <v>53</v>
      </c>
      <c r="R3" s="25" t="s">
        <v>52</v>
      </c>
      <c r="S3" s="25" t="s">
        <v>51</v>
      </c>
      <c r="T3" s="5"/>
      <c r="U3" s="25" t="s">
        <v>50</v>
      </c>
      <c r="V3" s="25" t="s">
        <v>49</v>
      </c>
      <c r="W3" s="25" t="s">
        <v>48</v>
      </c>
      <c r="X3" s="25" t="s">
        <v>47</v>
      </c>
      <c r="Y3" s="5"/>
      <c r="Z3" s="25" t="s">
        <v>46</v>
      </c>
      <c r="AA3" s="25" t="s">
        <v>45</v>
      </c>
      <c r="AB3" s="25" t="s">
        <v>44</v>
      </c>
      <c r="AC3" s="25" t="s">
        <v>43</v>
      </c>
      <c r="AD3" s="5"/>
      <c r="AE3" s="25" t="s">
        <v>113</v>
      </c>
      <c r="AF3" s="25" t="s">
        <v>41</v>
      </c>
      <c r="AG3" s="25" t="s">
        <v>40</v>
      </c>
      <c r="AH3" s="25" t="s">
        <v>39</v>
      </c>
      <c r="AI3" s="5"/>
    </row>
    <row r="4" spans="1:35" x14ac:dyDescent="0.25">
      <c r="A4" s="36" t="s">
        <v>38</v>
      </c>
      <c r="B4" s="37">
        <f>SUM(B5:B23)</f>
        <v>68586283.085189074</v>
      </c>
      <c r="C4" s="37">
        <f t="shared" ref="C4:G4" si="0">SUM(C5:C23)</f>
        <v>17588114.635719027</v>
      </c>
      <c r="D4" s="37">
        <f t="shared" si="0"/>
        <v>17838010.5933697</v>
      </c>
      <c r="E4" s="37">
        <f t="shared" si="0"/>
        <v>18628736.783179432</v>
      </c>
      <c r="F4" s="37">
        <f t="shared" si="0"/>
        <v>44888217.299669638</v>
      </c>
      <c r="G4" s="37">
        <f t="shared" si="0"/>
        <v>7245978.7658708328</v>
      </c>
      <c r="H4" s="39"/>
      <c r="I4" s="38">
        <f>SUM(I5:I23)</f>
        <v>47775.842276606083</v>
      </c>
      <c r="J4" s="38">
        <f t="shared" ref="J4:S4" si="1">SUM(J5:J23)</f>
        <v>4953024.4629154122</v>
      </c>
      <c r="K4" s="38">
        <f t="shared" si="1"/>
        <v>0</v>
      </c>
      <c r="L4" s="38">
        <f t="shared" si="1"/>
        <v>0</v>
      </c>
      <c r="M4" s="38">
        <f t="shared" si="1"/>
        <v>50.80105779346394</v>
      </c>
      <c r="N4" s="38">
        <f t="shared" si="1"/>
        <v>6283.5154127200449</v>
      </c>
      <c r="O4" s="38">
        <f t="shared" si="1"/>
        <v>21438571.603700001</v>
      </c>
      <c r="P4" s="38">
        <f t="shared" si="1"/>
        <v>2980453.5010000002</v>
      </c>
      <c r="Q4" s="38">
        <f t="shared" si="1"/>
        <v>38147504.059999995</v>
      </c>
      <c r="R4" s="38">
        <f t="shared" si="1"/>
        <v>6642518.7999999998</v>
      </c>
      <c r="S4" s="38">
        <f t="shared" si="1"/>
        <v>48893764.298286006</v>
      </c>
      <c r="T4" s="39"/>
      <c r="U4" s="38">
        <f>SUM(B4:G4)</f>
        <v>174775341.16299769</v>
      </c>
      <c r="V4" s="38">
        <f>SUM(I4:S4)-SUM(Q4:R4)</f>
        <v>78319924.024648547</v>
      </c>
      <c r="W4" s="38">
        <f>U4-V4</f>
        <v>96455417.138349146</v>
      </c>
      <c r="X4" s="40">
        <f>U4/V4</f>
        <v>2.2315565718372388</v>
      </c>
      <c r="Y4" s="41"/>
      <c r="Z4" s="38">
        <f>SUM(B4:F4)</f>
        <v>167529362.39712685</v>
      </c>
      <c r="AA4" s="77">
        <f>SUM(I4:S4)-SUM(Q4:R4)-N4</f>
        <v>78313640.509235829</v>
      </c>
      <c r="AB4" s="77">
        <f>Z4-AA4</f>
        <v>89215721.887891024</v>
      </c>
      <c r="AC4" s="40">
        <f>Z4/AA4</f>
        <v>2.1392105041696978</v>
      </c>
      <c r="AD4" s="41"/>
      <c r="AE4" s="77">
        <v>83160051.018881068</v>
      </c>
      <c r="AF4" s="77">
        <f>O4+P4+Q4+R4+I4+J4</f>
        <v>74209848.269892007</v>
      </c>
      <c r="AG4" s="80">
        <f>AE4-AF4</f>
        <v>8950202.7489890605</v>
      </c>
      <c r="AH4" s="42">
        <f>AE4/AF4</f>
        <v>1.1206066709156752</v>
      </c>
      <c r="AI4" s="5"/>
    </row>
    <row r="5" spans="1:35" s="3" customFormat="1" x14ac:dyDescent="0.25">
      <c r="A5" s="43" t="s">
        <v>37</v>
      </c>
      <c r="B5" s="44">
        <v>10203838.607649719</v>
      </c>
      <c r="C5" s="44">
        <v>6121182.2821995281</v>
      </c>
      <c r="D5" s="44">
        <v>883387.73067455587</v>
      </c>
      <c r="E5" s="44">
        <v>3331579.3707953864</v>
      </c>
      <c r="F5" s="44">
        <v>8242939.7548622712</v>
      </c>
      <c r="G5" s="44">
        <v>1104724.986519136</v>
      </c>
      <c r="H5" s="45"/>
      <c r="I5" s="44">
        <v>0</v>
      </c>
      <c r="J5" s="46">
        <v>187056.82468931036</v>
      </c>
      <c r="K5" s="46">
        <v>0</v>
      </c>
      <c r="L5" s="46">
        <v>0</v>
      </c>
      <c r="M5" s="46">
        <v>0</v>
      </c>
      <c r="N5" s="46">
        <v>0</v>
      </c>
      <c r="O5" s="46">
        <v>1730224.97</v>
      </c>
      <c r="P5" s="46">
        <v>330151.75</v>
      </c>
      <c r="Q5" s="46">
        <v>3288205.75</v>
      </c>
      <c r="R5" s="46">
        <v>1520255.74</v>
      </c>
      <c r="S5" s="46">
        <v>3332082.6426614071</v>
      </c>
      <c r="T5" s="45"/>
      <c r="U5" s="44">
        <f>SUM(B5:G5)</f>
        <v>29887652.732700597</v>
      </c>
      <c r="V5" s="44">
        <f>SUM(I5:S5)-SUM(Q5:R5)</f>
        <v>5579516.1873507183</v>
      </c>
      <c r="W5" s="44">
        <f>U5-V5</f>
        <v>24308136.545349881</v>
      </c>
      <c r="X5" s="47">
        <f>U5/V5</f>
        <v>5.3566746164226</v>
      </c>
      <c r="Y5" s="48"/>
      <c r="Z5" s="78">
        <f t="shared" ref="Z5:Z23" si="2">SUM(B5:F5)</f>
        <v>28782927.746181462</v>
      </c>
      <c r="AA5" s="78">
        <f>SUM(I5:S5)-SUM(Q5:R5)-N5</f>
        <v>5579516.1873507183</v>
      </c>
      <c r="AB5" s="78">
        <f>Z5-AA5</f>
        <v>23203411.558830746</v>
      </c>
      <c r="AC5" s="47">
        <f>Z5/AA5</f>
        <v>5.1586780609105558</v>
      </c>
      <c r="AD5" s="48"/>
      <c r="AE5" s="78">
        <v>14516757.974982418</v>
      </c>
      <c r="AF5" s="78">
        <f>O5+P5+Q5+R5+I5+J5</f>
        <v>7055895.03468931</v>
      </c>
      <c r="AG5" s="83">
        <f>AE5-AF5</f>
        <v>7460862.9402931081</v>
      </c>
      <c r="AH5" s="49">
        <f>AE5/AF5</f>
        <v>2.0573942644572845</v>
      </c>
      <c r="AI5" s="4"/>
    </row>
    <row r="6" spans="1:35" s="3" customFormat="1" x14ac:dyDescent="0.25">
      <c r="A6" s="50" t="s">
        <v>36</v>
      </c>
      <c r="B6" s="44">
        <v>33193072.687290963</v>
      </c>
      <c r="C6" s="44">
        <v>3028222.6712393207</v>
      </c>
      <c r="D6" s="44">
        <v>1449864.9114010236</v>
      </c>
      <c r="E6" s="44">
        <v>12268465.20125578</v>
      </c>
      <c r="F6" s="44">
        <v>16268153.550634712</v>
      </c>
      <c r="G6" s="44">
        <v>3400165.1079176418</v>
      </c>
      <c r="H6" s="45"/>
      <c r="I6" s="44">
        <v>0</v>
      </c>
      <c r="J6" s="46">
        <v>4371787.0904283347</v>
      </c>
      <c r="K6" s="46">
        <v>0</v>
      </c>
      <c r="L6" s="46">
        <v>0</v>
      </c>
      <c r="M6" s="46">
        <v>0</v>
      </c>
      <c r="N6" s="46">
        <v>0</v>
      </c>
      <c r="O6" s="46">
        <v>1538383.13</v>
      </c>
      <c r="P6" s="46">
        <v>115809.17</v>
      </c>
      <c r="Q6" s="46">
        <v>6429163.2000000002</v>
      </c>
      <c r="R6" s="46">
        <v>663165.5</v>
      </c>
      <c r="S6" s="46">
        <v>13921611.528800005</v>
      </c>
      <c r="T6" s="45"/>
      <c r="U6" s="44">
        <f t="shared" ref="U6:U23" si="3">SUM(B6:G6)</f>
        <v>69607944.129739434</v>
      </c>
      <c r="V6" s="44">
        <f>SUM(I6:S6)-SUM(Q6:R6)</f>
        <v>19947590.919228341</v>
      </c>
      <c r="W6" s="44">
        <f>U6-V6</f>
        <v>49660353.210511088</v>
      </c>
      <c r="X6" s="47">
        <f>U6/V6</f>
        <v>3.4895413893134002</v>
      </c>
      <c r="Y6" s="48"/>
      <c r="Z6" s="78">
        <f t="shared" si="2"/>
        <v>66207779.021821797</v>
      </c>
      <c r="AA6" s="78">
        <f>SUM(I6:S6)-SUM(Q6:R6)-N6</f>
        <v>19947590.919228341</v>
      </c>
      <c r="AB6" s="78">
        <f>Z6-AA6</f>
        <v>46260188.102593452</v>
      </c>
      <c r="AC6" s="47">
        <f>Z6/AA6</f>
        <v>3.3190864646217135</v>
      </c>
      <c r="AD6" s="48"/>
      <c r="AE6" s="78">
        <v>35549802.221230678</v>
      </c>
      <c r="AF6" s="78">
        <f>O6+P6+Q6+R6+I6+J6</f>
        <v>13118308.090428334</v>
      </c>
      <c r="AG6" s="83">
        <f>AE6-AF6</f>
        <v>22431494.130802345</v>
      </c>
      <c r="AH6" s="49">
        <f>AE6/AF6</f>
        <v>2.7099380481214115</v>
      </c>
      <c r="AI6" s="4"/>
    </row>
    <row r="7" spans="1:35" s="3" customFormat="1" x14ac:dyDescent="0.25">
      <c r="A7" s="51" t="s">
        <v>35</v>
      </c>
      <c r="B7" s="44">
        <v>4063552.7196993199</v>
      </c>
      <c r="C7" s="44">
        <v>2578984.8001470347</v>
      </c>
      <c r="D7" s="44">
        <v>381112.22341327707</v>
      </c>
      <c r="E7" s="44">
        <v>212050.5522135139</v>
      </c>
      <c r="F7" s="44">
        <v>3910589.2405150975</v>
      </c>
      <c r="G7" s="44">
        <v>415612.62108703557</v>
      </c>
      <c r="H7" s="45"/>
      <c r="I7" s="44">
        <v>2473.9608190685899</v>
      </c>
      <c r="J7" s="46">
        <v>42834.280337973752</v>
      </c>
      <c r="K7" s="46">
        <v>0</v>
      </c>
      <c r="L7" s="46">
        <v>0</v>
      </c>
      <c r="M7" s="46">
        <v>0</v>
      </c>
      <c r="N7" s="46">
        <v>0</v>
      </c>
      <c r="O7" s="46">
        <v>7851959.7300000004</v>
      </c>
      <c r="P7" s="46">
        <v>1132005.5820999998</v>
      </c>
      <c r="Q7" s="46">
        <v>12421728.98</v>
      </c>
      <c r="R7" s="46">
        <v>2144115.27</v>
      </c>
      <c r="S7" s="46">
        <v>10911320.363666672</v>
      </c>
      <c r="T7" s="45"/>
      <c r="U7" s="44">
        <f t="shared" si="3"/>
        <v>11561902.157075278</v>
      </c>
      <c r="V7" s="44">
        <f>SUM(I7:S7)-SUM(Q7:R7)</f>
        <v>19940593.916923717</v>
      </c>
      <c r="W7" s="44">
        <f>U7-V7</f>
        <v>-8378691.7598484382</v>
      </c>
      <c r="X7" s="47">
        <f>U7/V7</f>
        <v>0.57981734171230548</v>
      </c>
      <c r="Y7" s="48"/>
      <c r="Z7" s="78">
        <f t="shared" si="2"/>
        <v>11146289.535988243</v>
      </c>
      <c r="AA7" s="78">
        <f>SUM(I7:S7)-SUM(Q7:R7)-N7</f>
        <v>19940593.916923717</v>
      </c>
      <c r="AB7" s="78">
        <f>Z7-AA7</f>
        <v>-8794304.3809354734</v>
      </c>
      <c r="AC7" s="47">
        <f>Z7/AA7</f>
        <v>0.55897480197559768</v>
      </c>
      <c r="AD7" s="48"/>
      <c r="AE7" s="78">
        <v>6480164.878856306</v>
      </c>
      <c r="AF7" s="78">
        <f>O7+P7+Q7+R7+I7+J7</f>
        <v>23595117.803257044</v>
      </c>
      <c r="AG7" s="83">
        <f>AE7-AF7</f>
        <v>-17114952.924400739</v>
      </c>
      <c r="AH7" s="49">
        <f>AE7/AF7</f>
        <v>0.27464007312401684</v>
      </c>
      <c r="AI7" s="6"/>
    </row>
    <row r="8" spans="1:35" s="3" customFormat="1" x14ac:dyDescent="0.25">
      <c r="A8" s="51" t="s">
        <v>34</v>
      </c>
      <c r="B8" s="44">
        <v>1488650.3572966803</v>
      </c>
      <c r="C8" s="44">
        <v>696825.43831650098</v>
      </c>
      <c r="D8" s="44">
        <v>43330.96375089675</v>
      </c>
      <c r="E8" s="44">
        <v>414986.65265102446</v>
      </c>
      <c r="F8" s="44">
        <v>1258740.0318763121</v>
      </c>
      <c r="G8" s="44">
        <v>157532.74197646542</v>
      </c>
      <c r="H8" s="45"/>
      <c r="I8" s="44">
        <v>0</v>
      </c>
      <c r="J8" s="46">
        <v>78250.474145067274</v>
      </c>
      <c r="K8" s="46">
        <v>0</v>
      </c>
      <c r="L8" s="46">
        <v>0</v>
      </c>
      <c r="M8" s="46">
        <v>0</v>
      </c>
      <c r="N8" s="46">
        <v>0</v>
      </c>
      <c r="O8" s="46">
        <v>1915105.5933999999</v>
      </c>
      <c r="P8" s="46">
        <v>631937.07830000005</v>
      </c>
      <c r="Q8" s="46">
        <v>1572143.7</v>
      </c>
      <c r="R8" s="46">
        <v>779112.39000000013</v>
      </c>
      <c r="S8" s="46">
        <v>3205291.4079999998</v>
      </c>
      <c r="T8" s="45"/>
      <c r="U8" s="44">
        <f t="shared" si="3"/>
        <v>4060066.1858678805</v>
      </c>
      <c r="V8" s="44">
        <f>SUM(I8:S8)-SUM(Q8:R8)</f>
        <v>5830584.5538450666</v>
      </c>
      <c r="W8" s="44">
        <f>U8-V8</f>
        <v>-1770518.3679771861</v>
      </c>
      <c r="X8" s="47">
        <f>U8/V8</f>
        <v>0.6963394747770888</v>
      </c>
      <c r="Y8" s="48"/>
      <c r="Z8" s="78">
        <f t="shared" si="2"/>
        <v>3902533.4438914149</v>
      </c>
      <c r="AA8" s="78">
        <f>SUM(I8:S8)-SUM(Q8:R8)-N8</f>
        <v>5830584.5538450666</v>
      </c>
      <c r="AB8" s="78">
        <f>Z8-AA8</f>
        <v>-1928051.1099536517</v>
      </c>
      <c r="AC8" s="47">
        <f>Z8/AA8</f>
        <v>0.66932113030036255</v>
      </c>
      <c r="AD8" s="48"/>
      <c r="AE8" s="78">
        <v>2165644.2928125681</v>
      </c>
      <c r="AF8" s="78">
        <f>O8+P8+Q8+R8+I8+J8</f>
        <v>4976549.2358450675</v>
      </c>
      <c r="AG8" s="83">
        <f>AE8-AF8</f>
        <v>-2810904.9430324994</v>
      </c>
      <c r="AH8" s="49">
        <f>AE8/AF8</f>
        <v>0.43516987176854893</v>
      </c>
      <c r="AI8" s="6"/>
    </row>
    <row r="9" spans="1:35" s="3" customFormat="1" x14ac:dyDescent="0.25">
      <c r="A9" s="51" t="s">
        <v>33</v>
      </c>
      <c r="B9" s="44">
        <v>4418039.5894897263</v>
      </c>
      <c r="C9" s="44">
        <v>227635.43093095141</v>
      </c>
      <c r="D9" s="44">
        <v>2600162.8176843799</v>
      </c>
      <c r="E9" s="44">
        <v>381253.9106947488</v>
      </c>
      <c r="F9" s="44">
        <v>3806537.7079468272</v>
      </c>
      <c r="G9" s="44">
        <v>626473.93712452613</v>
      </c>
      <c r="H9" s="45"/>
      <c r="I9" s="44">
        <v>0</v>
      </c>
      <c r="J9" s="46">
        <v>37465.857130986449</v>
      </c>
      <c r="K9" s="46">
        <v>0</v>
      </c>
      <c r="L9" s="46">
        <v>0</v>
      </c>
      <c r="M9" s="46">
        <v>0</v>
      </c>
      <c r="N9" s="46">
        <v>0</v>
      </c>
      <c r="O9" s="46">
        <v>3157553.47</v>
      </c>
      <c r="P9" s="46">
        <v>215424.89</v>
      </c>
      <c r="Q9" s="46">
        <v>6506264.6600000001</v>
      </c>
      <c r="R9" s="46">
        <v>131496.06</v>
      </c>
      <c r="S9" s="46">
        <v>5854457.993999999</v>
      </c>
      <c r="T9" s="45"/>
      <c r="U9" s="44">
        <f t="shared" si="3"/>
        <v>12060103.39387116</v>
      </c>
      <c r="V9" s="44">
        <f>SUM(I9:S9)-SUM(Q9:R9)</f>
        <v>9264902.2111309879</v>
      </c>
      <c r="W9" s="44">
        <f>U9-V9</f>
        <v>2795201.1827401724</v>
      </c>
      <c r="X9" s="47">
        <f>U9/V9</f>
        <v>1.3016978613527057</v>
      </c>
      <c r="Y9" s="48"/>
      <c r="Z9" s="78">
        <f t="shared" si="2"/>
        <v>11433629.456746634</v>
      </c>
      <c r="AA9" s="78">
        <f>SUM(I9:S9)-SUM(Q9:R9)-N9</f>
        <v>9264902.2111309879</v>
      </c>
      <c r="AB9" s="78">
        <f>Z9-AA9</f>
        <v>2168727.2456156462</v>
      </c>
      <c r="AC9" s="47">
        <f>Z9/AA9</f>
        <v>1.2340798851616703</v>
      </c>
      <c r="AD9" s="48"/>
      <c r="AE9" s="78">
        <v>4645675.020420678</v>
      </c>
      <c r="AF9" s="78">
        <f>O9+P9+Q9+R9+I9+J9</f>
        <v>10048204.937130986</v>
      </c>
      <c r="AG9" s="83">
        <f>AE9-AF9</f>
        <v>-5402529.9167103078</v>
      </c>
      <c r="AH9" s="49">
        <f>AE9/AF9</f>
        <v>0.4623388007596842</v>
      </c>
      <c r="AI9" s="6"/>
    </row>
    <row r="10" spans="1:35" s="3" customFormat="1" x14ac:dyDescent="0.25">
      <c r="A10" s="50" t="s">
        <v>32</v>
      </c>
      <c r="B10" s="44">
        <v>355102.47319713642</v>
      </c>
      <c r="C10" s="44">
        <v>248230.81840629599</v>
      </c>
      <c r="D10" s="44">
        <v>0</v>
      </c>
      <c r="E10" s="44">
        <v>0</v>
      </c>
      <c r="F10" s="44">
        <v>302525.74491397315</v>
      </c>
      <c r="G10" s="44">
        <v>34649.013114468849</v>
      </c>
      <c r="H10" s="45"/>
      <c r="I10" s="44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353962.27650000009</v>
      </c>
      <c r="P10" s="46">
        <v>37893.769999999997</v>
      </c>
      <c r="Q10" s="46">
        <v>344358.75</v>
      </c>
      <c r="R10" s="46">
        <v>15565.05</v>
      </c>
      <c r="S10" s="46">
        <v>281753.18305560498</v>
      </c>
      <c r="T10" s="45"/>
      <c r="U10" s="44">
        <f t="shared" si="3"/>
        <v>940508.04963187443</v>
      </c>
      <c r="V10" s="44">
        <f>SUM(I10:S10)-SUM(Q10:R10)</f>
        <v>673609.22955560521</v>
      </c>
      <c r="W10" s="44">
        <f>U10-V10</f>
        <v>266898.82007626921</v>
      </c>
      <c r="X10" s="47">
        <f>U10/V10</f>
        <v>1.3962220355150838</v>
      </c>
      <c r="Y10" s="48"/>
      <c r="Z10" s="78">
        <f t="shared" si="2"/>
        <v>905859.03651740553</v>
      </c>
      <c r="AA10" s="78">
        <f>SUM(I10:S10)-SUM(Q10:R10)-N10</f>
        <v>673609.22955560521</v>
      </c>
      <c r="AB10" s="78">
        <f>Z10-AA10</f>
        <v>232249.80696180032</v>
      </c>
      <c r="AC10" s="47">
        <f>Z10/AA10</f>
        <v>1.3447841816464132</v>
      </c>
      <c r="AD10" s="48"/>
      <c r="AE10" s="78">
        <v>591502.72432978498</v>
      </c>
      <c r="AF10" s="78">
        <f>O10+P10+Q10+R10+I10+J10</f>
        <v>751779.84650000022</v>
      </c>
      <c r="AG10" s="83">
        <f>AE10-AF10</f>
        <v>-160277.12217021524</v>
      </c>
      <c r="AH10" s="49">
        <f>AE10/AF10</f>
        <v>0.78680311408133075</v>
      </c>
      <c r="AI10" s="4"/>
    </row>
    <row r="11" spans="1:35" s="3" customFormat="1" x14ac:dyDescent="0.25">
      <c r="A11" s="50" t="s">
        <v>31</v>
      </c>
      <c r="B11" s="44">
        <v>704781.47250290739</v>
      </c>
      <c r="C11" s="44">
        <v>201198.13182250879</v>
      </c>
      <c r="D11" s="44">
        <v>1377174.4110622534</v>
      </c>
      <c r="E11" s="44">
        <v>318766.36745833897</v>
      </c>
      <c r="F11" s="44">
        <v>502632.39198731509</v>
      </c>
      <c r="G11" s="44">
        <v>82415.743204537896</v>
      </c>
      <c r="H11" s="45"/>
      <c r="I11" s="44">
        <v>0</v>
      </c>
      <c r="J11" s="46">
        <v>49594.827541777289</v>
      </c>
      <c r="K11" s="46">
        <v>0</v>
      </c>
      <c r="L11" s="46">
        <v>0</v>
      </c>
      <c r="M11" s="46">
        <v>0</v>
      </c>
      <c r="N11" s="46">
        <v>0</v>
      </c>
      <c r="O11" s="46">
        <v>387601.70189999999</v>
      </c>
      <c r="P11" s="46">
        <v>53531.082799999996</v>
      </c>
      <c r="Q11" s="46">
        <v>131270.81</v>
      </c>
      <c r="R11" s="46">
        <v>66529.649999999994</v>
      </c>
      <c r="S11" s="46">
        <v>180357</v>
      </c>
      <c r="T11" s="45"/>
      <c r="U11" s="44">
        <f t="shared" si="3"/>
        <v>3186968.5180378612</v>
      </c>
      <c r="V11" s="44">
        <f>SUM(I11:S11)-SUM(Q11:R11)</f>
        <v>671084.61224177724</v>
      </c>
      <c r="W11" s="44">
        <f>U11-V11</f>
        <v>2515883.9057960841</v>
      </c>
      <c r="X11" s="47">
        <f>U11/V11</f>
        <v>4.7489816632685145</v>
      </c>
      <c r="Y11" s="48"/>
      <c r="Z11" s="78">
        <f t="shared" si="2"/>
        <v>3104552.7748333234</v>
      </c>
      <c r="AA11" s="78">
        <f>SUM(I11:S11)-SUM(Q11:R11)-N11</f>
        <v>671084.61224177724</v>
      </c>
      <c r="AB11" s="78">
        <f>Z11-AA11</f>
        <v>2433468.1625915463</v>
      </c>
      <c r="AC11" s="47">
        <f>Z11/AA11</f>
        <v>4.6261718987453406</v>
      </c>
      <c r="AD11" s="48"/>
      <c r="AE11" s="78">
        <v>905979.60432541615</v>
      </c>
      <c r="AF11" s="78">
        <f>O11+P11+Q11+R11+I11+J11</f>
        <v>688528.07224177732</v>
      </c>
      <c r="AG11" s="83">
        <f>AE11-AF11</f>
        <v>217451.53208363883</v>
      </c>
      <c r="AH11" s="49">
        <f>AE11/AF11</f>
        <v>1.3158208660623507</v>
      </c>
      <c r="AI11" s="4"/>
    </row>
    <row r="12" spans="1:35" s="3" customFormat="1" x14ac:dyDescent="0.25">
      <c r="A12" s="50" t="s">
        <v>30</v>
      </c>
      <c r="B12" s="44">
        <v>41614.36365632392</v>
      </c>
      <c r="C12" s="44">
        <v>61273.485685013344</v>
      </c>
      <c r="D12" s="44">
        <v>1971.0376655382988</v>
      </c>
      <c r="E12" s="44">
        <v>2317.1101723101979</v>
      </c>
      <c r="F12" s="44">
        <v>65823.658101175417</v>
      </c>
      <c r="G12" s="44">
        <v>5400.2101641888567</v>
      </c>
      <c r="H12" s="45"/>
      <c r="I12" s="44">
        <v>692.8219544092068</v>
      </c>
      <c r="J12" s="46">
        <v>629.91816732711482</v>
      </c>
      <c r="K12" s="46">
        <v>0</v>
      </c>
      <c r="L12" s="46">
        <v>0</v>
      </c>
      <c r="M12" s="46">
        <v>0</v>
      </c>
      <c r="N12" s="46">
        <v>0</v>
      </c>
      <c r="O12" s="46">
        <v>493515.35470000014</v>
      </c>
      <c r="P12" s="46">
        <v>65578.7696</v>
      </c>
      <c r="Q12" s="46">
        <v>720189.23000000021</v>
      </c>
      <c r="R12" s="46">
        <v>22700.5</v>
      </c>
      <c r="S12" s="46">
        <v>675595.45483870956</v>
      </c>
      <c r="T12" s="45"/>
      <c r="U12" s="44">
        <f t="shared" si="3"/>
        <v>178399.86544455003</v>
      </c>
      <c r="V12" s="44">
        <f>SUM(I12:S12)-SUM(Q12:R12)</f>
        <v>1236012.3192604461</v>
      </c>
      <c r="W12" s="44">
        <f>U12-V12</f>
        <v>-1057612.4538158961</v>
      </c>
      <c r="X12" s="47">
        <f>U12/V12</f>
        <v>0.14433502212283253</v>
      </c>
      <c r="Y12" s="48"/>
      <c r="Z12" s="78">
        <f t="shared" si="2"/>
        <v>172999.65528036118</v>
      </c>
      <c r="AA12" s="78">
        <f>SUM(I12:S12)-SUM(Q12:R12)-N12</f>
        <v>1236012.3192604461</v>
      </c>
      <c r="AB12" s="78">
        <f>Z12-AA12</f>
        <v>-1063012.6639800849</v>
      </c>
      <c r="AC12" s="47">
        <f>Z12/AA12</f>
        <v>0.13996596359482369</v>
      </c>
      <c r="AD12" s="48"/>
      <c r="AE12" s="78">
        <v>102887.84934133726</v>
      </c>
      <c r="AF12" s="78">
        <f>O12+P12+Q12+R12+I12+J12</f>
        <v>1303306.5944217364</v>
      </c>
      <c r="AG12" s="83">
        <f>AE12-AF12</f>
        <v>-1200418.7450803991</v>
      </c>
      <c r="AH12" s="49">
        <f>AE12/AF12</f>
        <v>7.8943703485968728E-2</v>
      </c>
      <c r="AI12" s="4"/>
    </row>
    <row r="13" spans="1:35" s="3" customFormat="1" x14ac:dyDescent="0.25">
      <c r="A13" s="50" t="s">
        <v>29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5"/>
      <c r="I13" s="44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18226.3835</v>
      </c>
      <c r="P13" s="46">
        <v>0</v>
      </c>
      <c r="Q13" s="46">
        <v>0</v>
      </c>
      <c r="R13" s="46">
        <v>0</v>
      </c>
      <c r="S13" s="46">
        <v>0</v>
      </c>
      <c r="T13" s="45"/>
      <c r="U13" s="44">
        <f t="shared" si="3"/>
        <v>0</v>
      </c>
      <c r="V13" s="44">
        <f>SUM(I13:S13)-SUM(Q13:R13)</f>
        <v>18226.3835</v>
      </c>
      <c r="W13" s="44">
        <f>U13-V13</f>
        <v>-18226.3835</v>
      </c>
      <c r="X13" s="47">
        <f>U13/V13</f>
        <v>0</v>
      </c>
      <c r="Y13" s="48"/>
      <c r="Z13" s="78">
        <f t="shared" si="2"/>
        <v>0</v>
      </c>
      <c r="AA13" s="78">
        <f>SUM(I13:S13)-SUM(Q13:R13)-N13</f>
        <v>18226.3835</v>
      </c>
      <c r="AB13" s="78">
        <f>Z13-AA13</f>
        <v>-18226.3835</v>
      </c>
      <c r="AC13" s="47">
        <f>Z13/AA13</f>
        <v>0</v>
      </c>
      <c r="AD13" s="48"/>
      <c r="AE13" s="78">
        <v>0</v>
      </c>
      <c r="AF13" s="78">
        <f>O13+P13+Q13+R13+I13+J13</f>
        <v>18226.3835</v>
      </c>
      <c r="AG13" s="83">
        <f>AE13-AF13</f>
        <v>-18226.3835</v>
      </c>
      <c r="AH13" s="49">
        <f>AE13/AF13</f>
        <v>0</v>
      </c>
      <c r="AI13" s="4"/>
    </row>
    <row r="14" spans="1:35" s="3" customFormat="1" x14ac:dyDescent="0.25">
      <c r="A14" s="50" t="s">
        <v>28</v>
      </c>
      <c r="B14" s="44">
        <v>333817.46210158814</v>
      </c>
      <c r="C14" s="44">
        <v>324497.23245614645</v>
      </c>
      <c r="D14" s="44">
        <v>133877.64456182549</v>
      </c>
      <c r="E14" s="44">
        <v>50631.850342083373</v>
      </c>
      <c r="F14" s="44">
        <v>450068.12979504821</v>
      </c>
      <c r="G14" s="44">
        <v>44971.906730087343</v>
      </c>
      <c r="H14" s="45"/>
      <c r="I14" s="44">
        <v>0</v>
      </c>
      <c r="J14" s="46">
        <v>8731.4810923578225</v>
      </c>
      <c r="K14" s="46">
        <v>0</v>
      </c>
      <c r="L14" s="46">
        <v>0</v>
      </c>
      <c r="M14" s="46">
        <v>0</v>
      </c>
      <c r="N14" s="46">
        <v>0</v>
      </c>
      <c r="O14" s="46">
        <v>716925.08040000009</v>
      </c>
      <c r="P14" s="46">
        <v>115746.53210000004</v>
      </c>
      <c r="Q14" s="46">
        <v>864248.00000000012</v>
      </c>
      <c r="R14" s="46">
        <v>281365.81</v>
      </c>
      <c r="S14" s="46">
        <v>1008535.81</v>
      </c>
      <c r="T14" s="45"/>
      <c r="U14" s="44">
        <f t="shared" si="3"/>
        <v>1337864.225986779</v>
      </c>
      <c r="V14" s="44">
        <f>SUM(I14:S14)-SUM(Q14:R14)</f>
        <v>1849938.9035923579</v>
      </c>
      <c r="W14" s="44">
        <f>U14-V14</f>
        <v>-512074.67760557891</v>
      </c>
      <c r="X14" s="47">
        <f>U14/V14</f>
        <v>0.7231937354194824</v>
      </c>
      <c r="Y14" s="48"/>
      <c r="Z14" s="78">
        <f t="shared" si="2"/>
        <v>1292892.3192566917</v>
      </c>
      <c r="AA14" s="78">
        <f>SUM(I14:S14)-SUM(Q14:R14)-N14</f>
        <v>1849938.9035923579</v>
      </c>
      <c r="AB14" s="78">
        <f>Z14-AA14</f>
        <v>-557046.58433566615</v>
      </c>
      <c r="AC14" s="47">
        <f>Z14/AA14</f>
        <v>0.69888379380856902</v>
      </c>
      <c r="AD14" s="48"/>
      <c r="AE14" s="78">
        <v>658314.69455773453</v>
      </c>
      <c r="AF14" s="78">
        <f>O14+P14+Q14+R14+I14+J14</f>
        <v>1987016.9035923581</v>
      </c>
      <c r="AG14" s="83">
        <f>AE14-AF14</f>
        <v>-1328702.2090346236</v>
      </c>
      <c r="AH14" s="49">
        <f>AE14/AF14</f>
        <v>0.3313080494522001</v>
      </c>
      <c r="AI14" s="4"/>
    </row>
    <row r="15" spans="1:35" s="3" customFormat="1" x14ac:dyDescent="0.25">
      <c r="A15" s="50" t="s">
        <v>27</v>
      </c>
      <c r="B15" s="44">
        <v>3276.7045800563101</v>
      </c>
      <c r="C15" s="44">
        <v>336320.18086497713</v>
      </c>
      <c r="D15" s="44">
        <v>0</v>
      </c>
      <c r="E15" s="44">
        <v>0</v>
      </c>
      <c r="F15" s="44">
        <v>15299.486832273988</v>
      </c>
      <c r="G15" s="44">
        <v>293.4845078732738</v>
      </c>
      <c r="H15" s="45"/>
      <c r="I15" s="44">
        <v>44609.059503128286</v>
      </c>
      <c r="J15" s="46">
        <v>0</v>
      </c>
      <c r="K15" s="46">
        <v>0</v>
      </c>
      <c r="L15" s="46">
        <v>0</v>
      </c>
      <c r="M15" s="46">
        <v>50.80105779346394</v>
      </c>
      <c r="N15" s="46">
        <v>6283.5154127200449</v>
      </c>
      <c r="O15" s="46">
        <v>367453.78599999985</v>
      </c>
      <c r="P15" s="46">
        <v>0</v>
      </c>
      <c r="Q15" s="46">
        <v>257760.15</v>
      </c>
      <c r="R15" s="46">
        <v>0</v>
      </c>
      <c r="S15" s="46">
        <v>251973.22999999998</v>
      </c>
      <c r="T15" s="45"/>
      <c r="U15" s="44">
        <f t="shared" si="3"/>
        <v>355189.85678518069</v>
      </c>
      <c r="V15" s="44">
        <f>SUM(I15:S15)-SUM(Q15:R15)</f>
        <v>670370.39197364158</v>
      </c>
      <c r="W15" s="44">
        <f>U15-V15</f>
        <v>-315180.5351884609</v>
      </c>
      <c r="X15" s="47">
        <f>U15/V15</f>
        <v>0.52984120575412652</v>
      </c>
      <c r="Y15" s="48"/>
      <c r="Z15" s="78">
        <f t="shared" si="2"/>
        <v>354896.37227730744</v>
      </c>
      <c r="AA15" s="78">
        <f>SUM(I15:S15)-SUM(Q15:R15)-N15</f>
        <v>664086.87656092155</v>
      </c>
      <c r="AB15" s="78">
        <f>Z15-AA15</f>
        <v>-309190.50428361411</v>
      </c>
      <c r="AC15" s="47">
        <f>Z15/AA15</f>
        <v>0.53441256679426374</v>
      </c>
      <c r="AD15" s="48"/>
      <c r="AE15" s="78">
        <v>6617.7310104412027</v>
      </c>
      <c r="AF15" s="78">
        <f>O15+P15+Q15+R15+I15+J15</f>
        <v>669822.99550312816</v>
      </c>
      <c r="AG15" s="83">
        <f>AE15-AF15</f>
        <v>-663205.26449268695</v>
      </c>
      <c r="AH15" s="49">
        <f>AE15/AF15</f>
        <v>9.8798205718070142E-3</v>
      </c>
      <c r="AI15" s="4"/>
    </row>
    <row r="16" spans="1:35" s="3" customFormat="1" x14ac:dyDescent="0.25">
      <c r="A16" s="50" t="s">
        <v>26</v>
      </c>
      <c r="B16" s="44">
        <v>482105.83414441714</v>
      </c>
      <c r="C16" s="44">
        <v>81825.973300651065</v>
      </c>
      <c r="D16" s="44">
        <v>349763.08831227018</v>
      </c>
      <c r="E16" s="44">
        <v>48258.708701178977</v>
      </c>
      <c r="F16" s="44">
        <v>591547.29817053839</v>
      </c>
      <c r="G16" s="44">
        <v>86216.633004169693</v>
      </c>
      <c r="H16" s="45"/>
      <c r="I16" s="44">
        <v>0</v>
      </c>
      <c r="J16" s="46">
        <v>2861.8571660842181</v>
      </c>
      <c r="K16" s="46">
        <v>0</v>
      </c>
      <c r="L16" s="46">
        <v>0</v>
      </c>
      <c r="M16" s="46">
        <v>0</v>
      </c>
      <c r="N16" s="46">
        <v>0</v>
      </c>
      <c r="O16" s="46">
        <v>650056.3544999999</v>
      </c>
      <c r="P16" s="46">
        <v>72676.81</v>
      </c>
      <c r="Q16" s="46">
        <v>1014760.77</v>
      </c>
      <c r="R16" s="46">
        <v>68498.13</v>
      </c>
      <c r="S16" s="46">
        <v>1052447.4400000002</v>
      </c>
      <c r="T16" s="45"/>
      <c r="U16" s="44">
        <f t="shared" si="3"/>
        <v>1639717.5356332252</v>
      </c>
      <c r="V16" s="44">
        <f>SUM(I16:S16)-SUM(Q16:R16)</f>
        <v>1778042.4616660844</v>
      </c>
      <c r="W16" s="44">
        <f>U16-V16</f>
        <v>-138324.92603285913</v>
      </c>
      <c r="X16" s="47">
        <f>U16/V16</f>
        <v>0.92220381176766497</v>
      </c>
      <c r="Y16" s="48"/>
      <c r="Z16" s="78">
        <f t="shared" si="2"/>
        <v>1553500.9026290555</v>
      </c>
      <c r="AA16" s="78">
        <f>SUM(I16:S16)-SUM(Q16:R16)-N16</f>
        <v>1778042.4616660844</v>
      </c>
      <c r="AB16" s="78">
        <f>Z16-AA16</f>
        <v>-224541.55903702881</v>
      </c>
      <c r="AC16" s="47">
        <f>Z16/AA16</f>
        <v>0.87371417506721072</v>
      </c>
      <c r="AD16" s="48"/>
      <c r="AE16" s="78">
        <v>563931.80744506815</v>
      </c>
      <c r="AF16" s="78">
        <f>O16+P16+Q16+R16+I16+J16</f>
        <v>1808853.9216660841</v>
      </c>
      <c r="AG16" s="83">
        <f>AE16-AF16</f>
        <v>-1244922.1142210159</v>
      </c>
      <c r="AH16" s="49">
        <f>AE16/AF16</f>
        <v>0.31176193980641981</v>
      </c>
      <c r="AI16" s="4"/>
    </row>
    <row r="17" spans="1:35" s="3" customFormat="1" x14ac:dyDescent="0.25">
      <c r="A17" s="50" t="s">
        <v>25</v>
      </c>
      <c r="B17" s="44">
        <v>1100688.7784955807</v>
      </c>
      <c r="C17" s="44">
        <v>75186.282389890664</v>
      </c>
      <c r="D17" s="44">
        <v>678434.30508105445</v>
      </c>
      <c r="E17" s="44">
        <v>0</v>
      </c>
      <c r="F17" s="44">
        <v>679500.94141725358</v>
      </c>
      <c r="G17" s="44">
        <v>113692.56503777634</v>
      </c>
      <c r="H17" s="45"/>
      <c r="I17" s="44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179285.41160000002</v>
      </c>
      <c r="P17" s="46">
        <v>10589.99</v>
      </c>
      <c r="Q17" s="46">
        <v>439338.95000000007</v>
      </c>
      <c r="R17" s="46">
        <v>33741.980000000003</v>
      </c>
      <c r="S17" s="46">
        <v>352551.7312859603</v>
      </c>
      <c r="T17" s="45"/>
      <c r="U17" s="44">
        <f t="shared" si="3"/>
        <v>2647502.8724215557</v>
      </c>
      <c r="V17" s="44">
        <f>SUM(I17:S17)-SUM(Q17:R17)</f>
        <v>542427.13288596028</v>
      </c>
      <c r="W17" s="46">
        <f>U17-V17</f>
        <v>2105075.7395355953</v>
      </c>
      <c r="X17" s="47">
        <f>U17/V17</f>
        <v>4.8808452083427873</v>
      </c>
      <c r="Y17" s="48"/>
      <c r="Z17" s="78">
        <f t="shared" si="2"/>
        <v>2533810.3073837794</v>
      </c>
      <c r="AA17" s="78">
        <f>SUM(I17:S17)-SUM(Q17:R17)-N17</f>
        <v>542427.13288596028</v>
      </c>
      <c r="AB17" s="78">
        <f>Z17-AA17</f>
        <v>1991383.174497819</v>
      </c>
      <c r="AC17" s="47">
        <f>Z17/AA17</f>
        <v>4.6712455070282903</v>
      </c>
      <c r="AD17" s="48"/>
      <c r="AE17" s="78">
        <v>1175875.0608854713</v>
      </c>
      <c r="AF17" s="78">
        <f>O17+P17+Q17+R17+I17+J17</f>
        <v>662956.33160000003</v>
      </c>
      <c r="AG17" s="83">
        <f>AE17-AF17</f>
        <v>512918.72928547126</v>
      </c>
      <c r="AH17" s="49">
        <f>AE17/AF17</f>
        <v>1.7736840344334246</v>
      </c>
      <c r="AI17" s="4"/>
    </row>
    <row r="18" spans="1:35" s="3" customFormat="1" x14ac:dyDescent="0.25">
      <c r="A18" s="50" t="s">
        <v>24</v>
      </c>
      <c r="B18" s="44">
        <v>220877.29436024692</v>
      </c>
      <c r="C18" s="44">
        <v>205130.61387765702</v>
      </c>
      <c r="D18" s="44">
        <v>0</v>
      </c>
      <c r="E18" s="44">
        <v>0</v>
      </c>
      <c r="F18" s="44">
        <v>254793.26098844819</v>
      </c>
      <c r="G18" s="44">
        <v>19639.334910611986</v>
      </c>
      <c r="H18" s="45"/>
      <c r="I18" s="44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199297.81270000001</v>
      </c>
      <c r="P18" s="46">
        <v>49591.705699999999</v>
      </c>
      <c r="Q18" s="46">
        <v>164001.83999999997</v>
      </c>
      <c r="R18" s="46">
        <v>209290.75999999995</v>
      </c>
      <c r="S18" s="46">
        <v>315774.21095787064</v>
      </c>
      <c r="T18" s="45"/>
      <c r="U18" s="44">
        <f t="shared" si="3"/>
        <v>700440.5041369641</v>
      </c>
      <c r="V18" s="44">
        <f>SUM(I18:S18)-SUM(Q18:R18)</f>
        <v>564663.72935787076</v>
      </c>
      <c r="W18" s="46">
        <f>U18-V18</f>
        <v>135776.77477909334</v>
      </c>
      <c r="X18" s="47">
        <f>U18/V18</f>
        <v>1.2404559877318437</v>
      </c>
      <c r="Y18" s="48"/>
      <c r="Z18" s="78">
        <f t="shared" si="2"/>
        <v>680801.16922635213</v>
      </c>
      <c r="AA18" s="78">
        <f>SUM(I18:S18)-SUM(Q18:R18)-N18</f>
        <v>564663.72935787076</v>
      </c>
      <c r="AB18" s="78">
        <f>Z18-AA18</f>
        <v>116137.43986848136</v>
      </c>
      <c r="AC18" s="47">
        <f>Z18/AA18</f>
        <v>1.2056754025985545</v>
      </c>
      <c r="AD18" s="48"/>
      <c r="AE18" s="78">
        <v>418431.12387619639</v>
      </c>
      <c r="AF18" s="78">
        <f>O18+P18+Q18+R18+I18+J18</f>
        <v>622182.11839999992</v>
      </c>
      <c r="AG18" s="83">
        <f>AE18-AF18</f>
        <v>-203750.99452380353</v>
      </c>
      <c r="AH18" s="49">
        <f>AE18/AF18</f>
        <v>0.67252193771211477</v>
      </c>
      <c r="AI18" s="4"/>
    </row>
    <row r="19" spans="1:35" s="3" customFormat="1" x14ac:dyDescent="0.25">
      <c r="A19" s="50" t="s">
        <v>23</v>
      </c>
      <c r="B19" s="44">
        <v>6777231.9345657043</v>
      </c>
      <c r="C19" s="44">
        <v>2156138.5960401623</v>
      </c>
      <c r="D19" s="44">
        <v>0</v>
      </c>
      <c r="E19" s="44">
        <v>0</v>
      </c>
      <c r="F19" s="44">
        <v>4921638.6414798116</v>
      </c>
      <c r="G19" s="44">
        <v>590960.94987875537</v>
      </c>
      <c r="H19" s="45"/>
      <c r="I19" s="44">
        <v>0</v>
      </c>
      <c r="J19" s="46">
        <v>1045.5746748621832</v>
      </c>
      <c r="K19" s="46">
        <v>0</v>
      </c>
      <c r="L19" s="46">
        <v>0</v>
      </c>
      <c r="M19" s="46">
        <v>0</v>
      </c>
      <c r="N19" s="46">
        <v>0</v>
      </c>
      <c r="O19" s="46">
        <v>1335150.5537000003</v>
      </c>
      <c r="P19" s="46">
        <v>79399.030399999989</v>
      </c>
      <c r="Q19" s="46">
        <v>3304323.75</v>
      </c>
      <c r="R19" s="46">
        <v>575526.26</v>
      </c>
      <c r="S19" s="46">
        <v>6792999.7410197817</v>
      </c>
      <c r="T19" s="45"/>
      <c r="U19" s="44">
        <f t="shared" si="3"/>
        <v>14445970.121964436</v>
      </c>
      <c r="V19" s="44">
        <f>SUM(I19:S19)-SUM(Q19:R19)</f>
        <v>8208594.8997946437</v>
      </c>
      <c r="W19" s="46">
        <f>U19-V19</f>
        <v>6237375.2221697923</v>
      </c>
      <c r="X19" s="47">
        <f>U19/V19</f>
        <v>1.7598590621551848</v>
      </c>
      <c r="Y19" s="48"/>
      <c r="Z19" s="78">
        <f t="shared" si="2"/>
        <v>13855009.17208568</v>
      </c>
      <c r="AA19" s="78">
        <f>SUM(I19:S19)-SUM(Q19:R19)-N19</f>
        <v>8208594.8997946437</v>
      </c>
      <c r="AB19" s="78">
        <f>Z19-AA19</f>
        <v>5646414.2722910363</v>
      </c>
      <c r="AC19" s="47">
        <f>Z19/AA19</f>
        <v>1.6878661136551267</v>
      </c>
      <c r="AD19" s="48"/>
      <c r="AE19" s="78">
        <v>8933370.5306058675</v>
      </c>
      <c r="AF19" s="78">
        <f>O19+P19+Q19+R19+I19+J19</f>
        <v>5295445.1687748628</v>
      </c>
      <c r="AG19" s="83">
        <f>AE19-AF19</f>
        <v>3637925.3618310047</v>
      </c>
      <c r="AH19" s="49">
        <f>AE19/AF19</f>
        <v>1.6869914135420392</v>
      </c>
      <c r="AI19" s="4"/>
    </row>
    <row r="20" spans="1:35" s="3" customFormat="1" x14ac:dyDescent="0.25">
      <c r="A20" s="50" t="s">
        <v>22</v>
      </c>
      <c r="B20" s="44">
        <v>4017189.886185559</v>
      </c>
      <c r="C20" s="44">
        <v>827984.78228947963</v>
      </c>
      <c r="D20" s="44">
        <v>9069280.0312759522</v>
      </c>
      <c r="E20" s="44">
        <v>1362515.4397571257</v>
      </c>
      <c r="F20" s="44">
        <v>2695622.375466635</v>
      </c>
      <c r="G20" s="44">
        <v>434809.42362883716</v>
      </c>
      <c r="H20" s="45"/>
      <c r="I20" s="44">
        <v>0</v>
      </c>
      <c r="J20" s="46">
        <v>143536.56768271903</v>
      </c>
      <c r="K20" s="46">
        <v>0</v>
      </c>
      <c r="L20" s="46">
        <v>0</v>
      </c>
      <c r="M20" s="46">
        <v>0</v>
      </c>
      <c r="N20" s="46">
        <v>0</v>
      </c>
      <c r="O20" s="46">
        <v>93942.301100000055</v>
      </c>
      <c r="P20" s="46">
        <v>12666.18</v>
      </c>
      <c r="Q20" s="46">
        <v>106036.62</v>
      </c>
      <c r="R20" s="46">
        <v>20047.38</v>
      </c>
      <c r="S20" s="46">
        <v>643626</v>
      </c>
      <c r="T20" s="45"/>
      <c r="U20" s="44">
        <f t="shared" si="3"/>
        <v>18407401.938603587</v>
      </c>
      <c r="V20" s="44">
        <f>SUM(I20:S20)-SUM(Q20:R20)</f>
        <v>893771.04878271907</v>
      </c>
      <c r="W20" s="46">
        <f>U20-V20</f>
        <v>17513630.88982087</v>
      </c>
      <c r="X20" s="47">
        <f>U20/V20</f>
        <v>20.59520943721968</v>
      </c>
      <c r="Y20" s="48"/>
      <c r="Z20" s="78">
        <f t="shared" si="2"/>
        <v>17972592.514974751</v>
      </c>
      <c r="AA20" s="78">
        <f>SUM(I20:S20)-SUM(Q20:R20)-N20</f>
        <v>893771.04878271907</v>
      </c>
      <c r="AB20" s="78">
        <f>Z20-AA20</f>
        <v>17078821.466192033</v>
      </c>
      <c r="AC20" s="47">
        <f>Z20/AA20</f>
        <v>20.108720840144368</v>
      </c>
      <c r="AD20" s="48"/>
      <c r="AE20" s="78">
        <v>4845174.6684750384</v>
      </c>
      <c r="AF20" s="78">
        <f>O20+P20+Q20+R20+I20+J20</f>
        <v>376229.04878271907</v>
      </c>
      <c r="AG20" s="83">
        <f>AE20-AF20</f>
        <v>4468945.6196923191</v>
      </c>
      <c r="AH20" s="49">
        <f>AE20/AF20</f>
        <v>12.878257763858203</v>
      </c>
      <c r="AI20" s="4"/>
    </row>
    <row r="21" spans="1:35" s="3" customFormat="1" x14ac:dyDescent="0.25">
      <c r="A21" s="51" t="s">
        <v>21</v>
      </c>
      <c r="B21" s="44">
        <v>604109.04527577071</v>
      </c>
      <c r="C21" s="44">
        <v>120838.80274572437</v>
      </c>
      <c r="D21" s="44">
        <v>869651.42848667048</v>
      </c>
      <c r="E21" s="44">
        <v>237911.61913794375</v>
      </c>
      <c r="F21" s="44">
        <v>404540.67291842517</v>
      </c>
      <c r="G21" s="44">
        <v>63934.872844611244</v>
      </c>
      <c r="H21" s="45"/>
      <c r="I21" s="44">
        <v>0</v>
      </c>
      <c r="J21" s="46">
        <v>29229.709858612616</v>
      </c>
      <c r="K21" s="46">
        <v>0</v>
      </c>
      <c r="L21" s="46">
        <v>0</v>
      </c>
      <c r="M21" s="46">
        <v>0</v>
      </c>
      <c r="N21" s="46">
        <v>0</v>
      </c>
      <c r="O21" s="46">
        <v>320567.69369999936</v>
      </c>
      <c r="P21" s="46">
        <v>39811.160000000003</v>
      </c>
      <c r="Q21" s="46">
        <v>583708.9</v>
      </c>
      <c r="R21" s="46">
        <v>111108.32</v>
      </c>
      <c r="S21" s="46">
        <v>113386.56</v>
      </c>
      <c r="T21" s="45"/>
      <c r="U21" s="44">
        <f t="shared" si="3"/>
        <v>2300986.4414091455</v>
      </c>
      <c r="V21" s="44">
        <f>SUM(I21:S21)-SUM(Q21:R21)</f>
        <v>502995.12355861207</v>
      </c>
      <c r="W21" s="46">
        <f>U21-V21</f>
        <v>1797991.3178505334</v>
      </c>
      <c r="X21" s="47">
        <f>U21/V21</f>
        <v>4.5745700775984171</v>
      </c>
      <c r="Y21" s="48"/>
      <c r="Z21" s="78">
        <f t="shared" si="2"/>
        <v>2237051.5685645342</v>
      </c>
      <c r="AA21" s="78">
        <f>SUM(I21:S21)-SUM(Q21:R21)-N21</f>
        <v>502995.12355861207</v>
      </c>
      <c r="AB21" s="78">
        <f>Z21-AA21</f>
        <v>1734056.4450059221</v>
      </c>
      <c r="AC21" s="47">
        <f>Z21/AA21</f>
        <v>4.4474617422485991</v>
      </c>
      <c r="AD21" s="48"/>
      <c r="AE21" s="78">
        <v>724947.84802149504</v>
      </c>
      <c r="AF21" s="78">
        <f>O21+P21+Q21+R21+I21+J21</f>
        <v>1084425.783558612</v>
      </c>
      <c r="AG21" s="83">
        <f>AE21-AF21</f>
        <v>-359477.93553711695</v>
      </c>
      <c r="AH21" s="49">
        <f>AE21/AF21</f>
        <v>0.6685084945532489</v>
      </c>
      <c r="AI21" s="4"/>
    </row>
    <row r="22" spans="1:35" s="3" customFormat="1" x14ac:dyDescent="0.25">
      <c r="A22" s="51" t="s">
        <v>8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5"/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6">
        <v>129360</v>
      </c>
      <c r="P22" s="46">
        <v>17640</v>
      </c>
      <c r="Q22" s="46">
        <v>0</v>
      </c>
      <c r="R22" s="46">
        <v>0</v>
      </c>
      <c r="S22" s="46">
        <v>0</v>
      </c>
      <c r="T22" s="45"/>
      <c r="U22" s="44">
        <f t="shared" si="3"/>
        <v>0</v>
      </c>
      <c r="V22" s="44">
        <f>SUM(I22:S22)-SUM(Q22:R22)</f>
        <v>147000</v>
      </c>
      <c r="W22" s="44">
        <f>U22-V22</f>
        <v>-147000</v>
      </c>
      <c r="X22" s="47">
        <f>U22/V22</f>
        <v>0</v>
      </c>
      <c r="Y22" s="48"/>
      <c r="Z22" s="78">
        <f t="shared" si="2"/>
        <v>0</v>
      </c>
      <c r="AA22" s="78">
        <f>SUM(I22:S22)-SUM(Q22:R22)-N22</f>
        <v>147000</v>
      </c>
      <c r="AB22" s="78">
        <f>Z22-AA22</f>
        <v>-147000</v>
      </c>
      <c r="AC22" s="47">
        <f>Z22/AA22</f>
        <v>0</v>
      </c>
      <c r="AD22" s="48"/>
      <c r="AE22" s="78">
        <v>0</v>
      </c>
      <c r="AF22" s="78">
        <f>O22+P22+Q22+R22+I22+J22</f>
        <v>147000</v>
      </c>
      <c r="AG22" s="83">
        <f>AE22-AF22</f>
        <v>-147000</v>
      </c>
      <c r="AH22" s="49">
        <f>AE22/AF22</f>
        <v>0</v>
      </c>
      <c r="AI22" s="4"/>
    </row>
    <row r="23" spans="1:35" s="3" customFormat="1" ht="15.75" thickBot="1" x14ac:dyDescent="0.3">
      <c r="A23" s="51" t="s">
        <v>20</v>
      </c>
      <c r="B23" s="44">
        <v>578333.87469736184</v>
      </c>
      <c r="C23" s="44">
        <v>296639.1130071826</v>
      </c>
      <c r="D23" s="44">
        <v>0</v>
      </c>
      <c r="E23" s="44">
        <v>0</v>
      </c>
      <c r="F23" s="44">
        <v>517264.41176351055</v>
      </c>
      <c r="G23" s="44">
        <v>64485.234220111146</v>
      </c>
      <c r="H23" s="45"/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5"/>
      <c r="U23" s="82">
        <f t="shared" si="3"/>
        <v>1456722.633688166</v>
      </c>
      <c r="V23" s="82">
        <f>SUM(I23:S23)-SUM(Q23:R23)</f>
        <v>0</v>
      </c>
      <c r="W23" s="52">
        <f>U23-V23</f>
        <v>1456722.633688166</v>
      </c>
      <c r="X23" s="53" t="s">
        <v>1</v>
      </c>
      <c r="Y23" s="48"/>
      <c r="Z23" s="79">
        <f t="shared" si="2"/>
        <v>1392237.399468055</v>
      </c>
      <c r="AA23" s="79">
        <f>SUM(I23:S23)-SUM(Q23:R23)-N23</f>
        <v>0</v>
      </c>
      <c r="AB23" s="79">
        <f>Z23-AA23</f>
        <v>1392237.399468055</v>
      </c>
      <c r="AC23" s="54" t="s">
        <v>1</v>
      </c>
      <c r="AD23" s="48"/>
      <c r="AE23" s="79">
        <v>874972.98770454444</v>
      </c>
      <c r="AF23" s="79">
        <f>O23+P23+Q23+R23+I23+J23</f>
        <v>0</v>
      </c>
      <c r="AG23" s="79">
        <f>AE23-AF23</f>
        <v>874972.98770454444</v>
      </c>
      <c r="AH23" s="54" t="s">
        <v>1</v>
      </c>
      <c r="AI23" s="4"/>
    </row>
    <row r="24" spans="1:35" x14ac:dyDescent="0.25">
      <c r="A24" s="55" t="s">
        <v>19</v>
      </c>
      <c r="B24" s="56">
        <f>SUM(B25:B35)</f>
        <v>117405324.20776772</v>
      </c>
      <c r="C24" s="56">
        <f t="shared" ref="C24:G24" si="4">SUM(C25:C35)</f>
        <v>89733057.160842672</v>
      </c>
      <c r="D24" s="56">
        <f t="shared" si="4"/>
        <v>699829.80693586485</v>
      </c>
      <c r="E24" s="56">
        <f t="shared" si="4"/>
        <v>22993996.765920959</v>
      </c>
      <c r="F24" s="56">
        <f t="shared" si="4"/>
        <v>86810131.330916628</v>
      </c>
      <c r="G24" s="56">
        <f t="shared" si="4"/>
        <v>11428857.183360767</v>
      </c>
      <c r="H24" s="39"/>
      <c r="I24" s="56">
        <f>SUM(I25:I35)</f>
        <v>1392709.1296974395</v>
      </c>
      <c r="J24" s="56">
        <f t="shared" ref="J24:T24" si="5">SUM(J25:J35)</f>
        <v>4698779.2103553172</v>
      </c>
      <c r="K24" s="56">
        <f t="shared" si="5"/>
        <v>0</v>
      </c>
      <c r="L24" s="56">
        <f t="shared" si="5"/>
        <v>0</v>
      </c>
      <c r="M24" s="56">
        <f t="shared" si="5"/>
        <v>127.06372602812638</v>
      </c>
      <c r="N24" s="56">
        <f t="shared" si="5"/>
        <v>21.579348329323249</v>
      </c>
      <c r="O24" s="56">
        <f t="shared" si="5"/>
        <v>17459886.927500002</v>
      </c>
      <c r="P24" s="56">
        <f t="shared" si="5"/>
        <v>2193034.4783722102</v>
      </c>
      <c r="Q24" s="56">
        <f t="shared" si="5"/>
        <v>29868184.920000002</v>
      </c>
      <c r="R24" s="56">
        <f t="shared" si="5"/>
        <v>3065557.6699999995</v>
      </c>
      <c r="S24" s="56">
        <f t="shared" si="5"/>
        <v>63051722.016229711</v>
      </c>
      <c r="T24" s="56">
        <f t="shared" si="5"/>
        <v>0</v>
      </c>
      <c r="U24" s="57">
        <f>SUM(B24:G24)</f>
        <v>329071196.45574462</v>
      </c>
      <c r="V24" s="57">
        <f>SUM(I24:S24)-SUM(Q24:R24)</f>
        <v>88796280.405229032</v>
      </c>
      <c r="W24" s="56">
        <f>U24-V24</f>
        <v>240274916.05051559</v>
      </c>
      <c r="X24" s="58">
        <f>U24/V24</f>
        <v>3.7059119475951192</v>
      </c>
      <c r="Y24" s="41"/>
      <c r="Z24" s="80">
        <f>B24+C24+D24+E24+F24</f>
        <v>317642339.27238387</v>
      </c>
      <c r="AA24" s="80">
        <f>SUM(I24:S24)-SUM(Q24:R24)-N24</f>
        <v>88796258.825880706</v>
      </c>
      <c r="AB24" s="80">
        <f>Z24-AA24</f>
        <v>228846080.44650316</v>
      </c>
      <c r="AC24" s="42">
        <f>Z24/AA24</f>
        <v>3.5772040790056718</v>
      </c>
      <c r="AD24" s="41"/>
      <c r="AE24" s="84">
        <v>135435751.19716617</v>
      </c>
      <c r="AF24" s="80">
        <f>O24+P24+Q24+R24+I24+J24</f>
        <v>58678152.335924976</v>
      </c>
      <c r="AG24" s="80">
        <f>AE24-AF24</f>
        <v>76757598.861241192</v>
      </c>
      <c r="AH24" s="42">
        <f>AE24/AF24</f>
        <v>2.3081120622512734</v>
      </c>
      <c r="AI24" s="5"/>
    </row>
    <row r="25" spans="1:35" s="3" customFormat="1" x14ac:dyDescent="0.25">
      <c r="A25" s="50" t="s">
        <v>18</v>
      </c>
      <c r="B25" s="46">
        <v>41222786.700057194</v>
      </c>
      <c r="C25" s="46">
        <v>4969727.5337149557</v>
      </c>
      <c r="D25" s="44">
        <v>549368.15461475367</v>
      </c>
      <c r="E25" s="46">
        <v>4500226.3336130846</v>
      </c>
      <c r="F25" s="44">
        <v>23076263.507832125</v>
      </c>
      <c r="G25" s="44">
        <v>3617999.4763622913</v>
      </c>
      <c r="H25" s="45"/>
      <c r="I25" s="44">
        <v>3175.7210058653691</v>
      </c>
      <c r="J25" s="44">
        <v>1049431.449993033</v>
      </c>
      <c r="K25" s="44">
        <v>0</v>
      </c>
      <c r="L25" s="44">
        <v>0</v>
      </c>
      <c r="M25" s="44">
        <v>104.21272996047477</v>
      </c>
      <c r="N25" s="44">
        <v>17.945356742208972</v>
      </c>
      <c r="O25" s="44">
        <v>4349705.9777000006</v>
      </c>
      <c r="P25" s="44">
        <v>1132002.1729000001</v>
      </c>
      <c r="Q25" s="44">
        <v>8689244.6400000006</v>
      </c>
      <c r="R25" s="44">
        <v>1368605.4799999995</v>
      </c>
      <c r="S25" s="46">
        <v>11681078.808466287</v>
      </c>
      <c r="T25" s="45"/>
      <c r="U25" s="44">
        <f>SUM(B25:G25)</f>
        <v>77936371.706194401</v>
      </c>
      <c r="V25" s="44">
        <f>SUM(I25:S25)-SUM(Q25:R25)</f>
        <v>18215516.288151886</v>
      </c>
      <c r="W25" s="44">
        <f>U25-V25</f>
        <v>59720855.418042511</v>
      </c>
      <c r="X25" s="47">
        <f>U25/V25</f>
        <v>4.278570558929883</v>
      </c>
      <c r="Y25" s="48"/>
      <c r="Z25" s="78">
        <f>B25+C25+D25+E25+F25</f>
        <v>74318372.229832113</v>
      </c>
      <c r="AA25" s="78">
        <f>SUM(I25:S25)-SUM(Q25:R25)-N25</f>
        <v>18215498.342795145</v>
      </c>
      <c r="AB25" s="78">
        <f>Z25-AA25</f>
        <v>56102873.887036964</v>
      </c>
      <c r="AC25" s="47">
        <f>Z25/AA25</f>
        <v>4.0799527320770546</v>
      </c>
      <c r="AD25" s="48"/>
      <c r="AE25" s="78">
        <v>46147584.784362182</v>
      </c>
      <c r="AF25" s="78">
        <f>O25+P25+Q25+R25+I25+J25</f>
        <v>16592165.4415989</v>
      </c>
      <c r="AG25" s="83">
        <f>AE25-AF25</f>
        <v>29555419.342763282</v>
      </c>
      <c r="AH25" s="49">
        <f>AE25/AF25</f>
        <v>2.7812876472810282</v>
      </c>
      <c r="AI25" s="4"/>
    </row>
    <row r="26" spans="1:35" s="3" customFormat="1" x14ac:dyDescent="0.25">
      <c r="A26" s="50" t="s">
        <v>17</v>
      </c>
      <c r="B26" s="46">
        <v>18312270.924446948</v>
      </c>
      <c r="C26" s="46">
        <v>84250100.003132194</v>
      </c>
      <c r="D26" s="44">
        <v>0</v>
      </c>
      <c r="E26" s="46">
        <v>0</v>
      </c>
      <c r="F26" s="44">
        <v>35104867.825943306</v>
      </c>
      <c r="G26" s="44">
        <v>3032255.7659987737</v>
      </c>
      <c r="H26" s="45"/>
      <c r="I26" s="44">
        <v>1389388.0253473634</v>
      </c>
      <c r="J26" s="44">
        <v>1973.3127572258804</v>
      </c>
      <c r="K26" s="44">
        <v>0</v>
      </c>
      <c r="L26" s="44">
        <v>0</v>
      </c>
      <c r="M26" s="44">
        <v>0</v>
      </c>
      <c r="N26" s="44">
        <v>0</v>
      </c>
      <c r="O26" s="46">
        <v>3415379.1766000008</v>
      </c>
      <c r="P26" s="44">
        <v>607526.65690000029</v>
      </c>
      <c r="Q26" s="44">
        <v>7987786.3599999985</v>
      </c>
      <c r="R26" s="44">
        <v>1298408.2100000002</v>
      </c>
      <c r="S26" s="46">
        <v>32171991.988726221</v>
      </c>
      <c r="T26" s="45"/>
      <c r="U26" s="44">
        <f>SUM(B26:G26)</f>
        <v>140699494.51952124</v>
      </c>
      <c r="V26" s="44">
        <f>SUM(I26:S26)-SUM(Q26:R26)</f>
        <v>37586259.16033081</v>
      </c>
      <c r="W26" s="44">
        <f>U26-V26</f>
        <v>103113235.35919043</v>
      </c>
      <c r="X26" s="47">
        <f>U26/V26</f>
        <v>3.7433758416697644</v>
      </c>
      <c r="Y26" s="48"/>
      <c r="Z26" s="78">
        <f>B26+C26+D26+E26+F26</f>
        <v>137667238.75352246</v>
      </c>
      <c r="AA26" s="78">
        <f>SUM(I26:S26)-SUM(Q26:R26)-N26</f>
        <v>37586259.16033081</v>
      </c>
      <c r="AB26" s="78">
        <f>Z26-AA26</f>
        <v>100080979.59319165</v>
      </c>
      <c r="AC26" s="47">
        <f>Z26/AA26</f>
        <v>3.6627012591564005</v>
      </c>
      <c r="AD26" s="48"/>
      <c r="AE26" s="78">
        <v>30977288.135980159</v>
      </c>
      <c r="AF26" s="78">
        <f>O26+P26+Q26+R26+I26+J26</f>
        <v>14700461.741604589</v>
      </c>
      <c r="AG26" s="83">
        <f>AE26-AF26</f>
        <v>16276826.39437557</v>
      </c>
      <c r="AH26" s="49">
        <f>AE26/AF26</f>
        <v>2.1072323223909102</v>
      </c>
      <c r="AI26" s="4"/>
    </row>
    <row r="27" spans="1:35" s="3" customFormat="1" x14ac:dyDescent="0.25">
      <c r="A27" s="50" t="s">
        <v>16</v>
      </c>
      <c r="B27" s="46">
        <v>27319699.128745534</v>
      </c>
      <c r="C27" s="46">
        <v>0</v>
      </c>
      <c r="D27" s="44">
        <v>0</v>
      </c>
      <c r="E27" s="46">
        <v>13093129.76888662</v>
      </c>
      <c r="F27" s="44">
        <v>10515430.811336797</v>
      </c>
      <c r="G27" s="44">
        <v>1826573.6189455045</v>
      </c>
      <c r="H27" s="45"/>
      <c r="I27" s="44">
        <v>0</v>
      </c>
      <c r="J27" s="44">
        <v>2054253.7596329891</v>
      </c>
      <c r="K27" s="44">
        <v>0</v>
      </c>
      <c r="L27" s="44">
        <v>0</v>
      </c>
      <c r="M27" s="44">
        <v>0</v>
      </c>
      <c r="N27" s="44">
        <v>0</v>
      </c>
      <c r="O27" s="44">
        <v>1268142.5099999986</v>
      </c>
      <c r="P27" s="44">
        <v>0</v>
      </c>
      <c r="Q27" s="44">
        <v>3916105.3000000003</v>
      </c>
      <c r="R27" s="44">
        <v>0</v>
      </c>
      <c r="S27" s="46">
        <v>13575419.562723044</v>
      </c>
      <c r="T27" s="45"/>
      <c r="U27" s="44">
        <f>SUM(B27:G27)</f>
        <v>52754833.327914454</v>
      </c>
      <c r="V27" s="44">
        <f>SUM(I27:S27)-SUM(Q27:R27)</f>
        <v>16897815.832356032</v>
      </c>
      <c r="W27" s="44">
        <f>U27-V27</f>
        <v>35857017.495558426</v>
      </c>
      <c r="X27" s="47">
        <f>U27/V27</f>
        <v>3.1219912591838765</v>
      </c>
      <c r="Y27" s="48"/>
      <c r="Z27" s="78">
        <f>B27+C27+D27+E27+F27</f>
        <v>50928259.708968952</v>
      </c>
      <c r="AA27" s="78">
        <f>SUM(I27:S27)-SUM(Q27:R27)-N27</f>
        <v>16897815.832356032</v>
      </c>
      <c r="AB27" s="78">
        <f>Z27-AA27</f>
        <v>34030443.876612917</v>
      </c>
      <c r="AC27" s="47">
        <f>Z27/AA27</f>
        <v>3.0138960096518059</v>
      </c>
      <c r="AD27" s="48"/>
      <c r="AE27" s="78">
        <v>27319699.128745534</v>
      </c>
      <c r="AF27" s="78">
        <f>O27+P27+Q27+R27+I27+J27</f>
        <v>7238501.5696329875</v>
      </c>
      <c r="AG27" s="83">
        <f>AE27-AF27</f>
        <v>20081197.559112545</v>
      </c>
      <c r="AH27" s="49">
        <f>AE27/AF27</f>
        <v>3.7742202396359663</v>
      </c>
      <c r="AI27" s="4"/>
    </row>
    <row r="28" spans="1:35" s="3" customFormat="1" x14ac:dyDescent="0.25">
      <c r="A28" s="50" t="s">
        <v>15</v>
      </c>
      <c r="B28" s="46">
        <v>235585.79676022258</v>
      </c>
      <c r="C28" s="46">
        <v>27040.429881164964</v>
      </c>
      <c r="D28" s="44">
        <v>0</v>
      </c>
      <c r="E28" s="46">
        <v>0</v>
      </c>
      <c r="F28" s="44">
        <v>114998.79959183716</v>
      </c>
      <c r="G28" s="44">
        <v>17369.302554189453</v>
      </c>
      <c r="H28" s="45"/>
      <c r="I28" s="44">
        <v>145.38334421058943</v>
      </c>
      <c r="J28" s="44">
        <v>695.7712994492407</v>
      </c>
      <c r="K28" s="44">
        <v>0</v>
      </c>
      <c r="L28" s="44">
        <v>0</v>
      </c>
      <c r="M28" s="44">
        <v>22.850996067651614</v>
      </c>
      <c r="N28" s="44">
        <v>3.6339915871142776</v>
      </c>
      <c r="O28" s="44">
        <v>404913.77069999999</v>
      </c>
      <c r="P28" s="44">
        <v>92090.826510184997</v>
      </c>
      <c r="Q28" s="44">
        <v>192991.27</v>
      </c>
      <c r="R28" s="44">
        <v>3185</v>
      </c>
      <c r="S28" s="46">
        <v>78340.101668276329</v>
      </c>
      <c r="T28" s="45"/>
      <c r="U28" s="44">
        <f>SUM(B28:G28)</f>
        <v>394994.32878741418</v>
      </c>
      <c r="V28" s="44">
        <f>SUM(I28:S28)-SUM(Q28:R28)</f>
        <v>576212.33850977593</v>
      </c>
      <c r="W28" s="44">
        <f>U28-V28</f>
        <v>-181218.00972236175</v>
      </c>
      <c r="X28" s="47">
        <f>U28/V28</f>
        <v>0.68550133759538157</v>
      </c>
      <c r="Y28" s="48"/>
      <c r="Z28" s="78">
        <f>B28+C28+D28+E28+F28</f>
        <v>377625.02623322472</v>
      </c>
      <c r="AA28" s="78">
        <f>SUM(I28:S28)-SUM(Q28:R28)-N28</f>
        <v>576208.70451818884</v>
      </c>
      <c r="AB28" s="78">
        <f>Z28-AA28</f>
        <v>-198583.67828496412</v>
      </c>
      <c r="AC28" s="47">
        <f>Z28/AA28</f>
        <v>0.65536154395478152</v>
      </c>
      <c r="AD28" s="48"/>
      <c r="AE28" s="78">
        <v>262626.22664138756</v>
      </c>
      <c r="AF28" s="78">
        <f>O28+P28+Q28+R28+I28+J28</f>
        <v>694022.02185384487</v>
      </c>
      <c r="AG28" s="83">
        <f>AE28-AF28</f>
        <v>-431395.79521245731</v>
      </c>
      <c r="AH28" s="49">
        <f>AE28/AF28</f>
        <v>0.37841195001258104</v>
      </c>
      <c r="AI28" s="4"/>
    </row>
    <row r="29" spans="1:35" s="3" customFormat="1" x14ac:dyDescent="0.25">
      <c r="A29" s="50" t="s">
        <v>14</v>
      </c>
      <c r="B29" s="46">
        <v>241199.12060222455</v>
      </c>
      <c r="C29" s="46">
        <v>259316.51773937655</v>
      </c>
      <c r="D29" s="44">
        <v>150461.65232111121</v>
      </c>
      <c r="E29" s="46">
        <v>0</v>
      </c>
      <c r="F29" s="44">
        <v>361342.01242496446</v>
      </c>
      <c r="G29" s="44">
        <v>41981.895642551935</v>
      </c>
      <c r="H29" s="45"/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136630.73650000006</v>
      </c>
      <c r="P29" s="44">
        <v>26477.747903880005</v>
      </c>
      <c r="Q29" s="44">
        <v>71225</v>
      </c>
      <c r="R29" s="44">
        <v>81690</v>
      </c>
      <c r="S29" s="46">
        <v>115767.24306581875</v>
      </c>
      <c r="T29" s="45"/>
      <c r="U29" s="44">
        <f>SUM(B29:G29)</f>
        <v>1054301.1987302287</v>
      </c>
      <c r="V29" s="44">
        <f>SUM(I29:S29)-SUM(Q29:R29)</f>
        <v>278875.72746969882</v>
      </c>
      <c r="W29" s="44">
        <f>U29-V29</f>
        <v>775425.47126052994</v>
      </c>
      <c r="X29" s="47">
        <f>U29/V29</f>
        <v>3.780541276561201</v>
      </c>
      <c r="Y29" s="48"/>
      <c r="Z29" s="78">
        <f>B29+C29+D29+E29+F29</f>
        <v>1012319.3030876768</v>
      </c>
      <c r="AA29" s="78">
        <f>SUM(I29:S29)-SUM(Q29:R29)-N29</f>
        <v>278875.72746969882</v>
      </c>
      <c r="AB29" s="78">
        <f>Z29-AA29</f>
        <v>733443.57561797788</v>
      </c>
      <c r="AC29" s="47">
        <f>Z29/AA29</f>
        <v>3.6300014786968871</v>
      </c>
      <c r="AD29" s="48"/>
      <c r="AE29" s="78">
        <v>500515.63834160112</v>
      </c>
      <c r="AF29" s="78">
        <f>O29+P29+Q29+R29+I29+J29</f>
        <v>316023.48440388008</v>
      </c>
      <c r="AG29" s="83">
        <f>AE29-AF29</f>
        <v>184492.15393772104</v>
      </c>
      <c r="AH29" s="49">
        <f>AE29/AF29</f>
        <v>1.5837925440437801</v>
      </c>
      <c r="AI29" s="4"/>
    </row>
    <row r="30" spans="1:35" s="3" customFormat="1" x14ac:dyDescent="0.25">
      <c r="A30" s="50" t="s">
        <v>13</v>
      </c>
      <c r="B30" s="46">
        <v>21162343.743349787</v>
      </c>
      <c r="C30" s="46">
        <v>0</v>
      </c>
      <c r="D30" s="44">
        <v>0</v>
      </c>
      <c r="E30" s="46">
        <v>3664596.4650314949</v>
      </c>
      <c r="F30" s="44">
        <v>9594756.7213463131</v>
      </c>
      <c r="G30" s="44">
        <v>1714278.5126428294</v>
      </c>
      <c r="H30" s="45"/>
      <c r="I30" s="44">
        <v>0</v>
      </c>
      <c r="J30" s="44">
        <v>1592424.9166726198</v>
      </c>
      <c r="K30" s="44">
        <v>0</v>
      </c>
      <c r="L30" s="44">
        <v>0</v>
      </c>
      <c r="M30" s="44">
        <v>0</v>
      </c>
      <c r="N30" s="44">
        <v>0</v>
      </c>
      <c r="O30" s="44">
        <v>5881755.6711999997</v>
      </c>
      <c r="P30" s="44">
        <v>0</v>
      </c>
      <c r="Q30" s="44">
        <v>7735417.4700000007</v>
      </c>
      <c r="R30" s="44">
        <v>0</v>
      </c>
      <c r="S30" s="46">
        <v>3084875.8393383911</v>
      </c>
      <c r="T30" s="45"/>
      <c r="U30" s="44">
        <f>SUM(B30:G30)</f>
        <v>36135975.442370422</v>
      </c>
      <c r="V30" s="44">
        <f>SUM(I30:S30)-SUM(Q30:R30)</f>
        <v>10559056.427211011</v>
      </c>
      <c r="W30" s="44">
        <f>U30-V30</f>
        <v>25576919.015159413</v>
      </c>
      <c r="X30" s="47">
        <f>U30/V30</f>
        <v>3.4222731634662837</v>
      </c>
      <c r="Y30" s="48"/>
      <c r="Z30" s="78">
        <f>B30+C30+D30+E30+F30</f>
        <v>34421696.929727592</v>
      </c>
      <c r="AA30" s="78">
        <f>SUM(I30:S30)-SUM(Q30:R30)-N30</f>
        <v>10559056.427211011</v>
      </c>
      <c r="AB30" s="78">
        <f>Z30-AA30</f>
        <v>23862640.502516583</v>
      </c>
      <c r="AC30" s="47">
        <f>Z30/AA30</f>
        <v>3.2599216764314116</v>
      </c>
      <c r="AD30" s="48"/>
      <c r="AE30" s="78">
        <v>21162343.743349787</v>
      </c>
      <c r="AF30" s="78">
        <f>O30+P30+Q30+R30+I30+J30</f>
        <v>15209598.057872619</v>
      </c>
      <c r="AG30" s="83">
        <f>AE30-AF30</f>
        <v>5952745.6854771674</v>
      </c>
      <c r="AH30" s="49">
        <f>AE30/AF30</f>
        <v>1.3913808677143822</v>
      </c>
      <c r="AI30" s="4"/>
    </row>
    <row r="31" spans="1:35" s="3" customFormat="1" x14ac:dyDescent="0.25">
      <c r="A31" s="50" t="s">
        <v>12</v>
      </c>
      <c r="B31" s="46">
        <v>429031.16887307342</v>
      </c>
      <c r="C31" s="46">
        <v>226872.67637498138</v>
      </c>
      <c r="D31" s="44">
        <v>0</v>
      </c>
      <c r="E31" s="46">
        <v>0</v>
      </c>
      <c r="F31" s="44">
        <v>273796.184039363</v>
      </c>
      <c r="G31" s="44">
        <v>26467.345766247723</v>
      </c>
      <c r="H31" s="45"/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423989.68929999979</v>
      </c>
      <c r="P31" s="44">
        <v>261202.70405814506</v>
      </c>
      <c r="Q31" s="44">
        <v>232737.94</v>
      </c>
      <c r="R31" s="44">
        <v>313668.98</v>
      </c>
      <c r="S31" s="46">
        <v>258780</v>
      </c>
      <c r="T31" s="45"/>
      <c r="U31" s="44">
        <f>SUM(B31:G31)</f>
        <v>956167.3750536656</v>
      </c>
      <c r="V31" s="44">
        <f>SUM(I31:S31)-SUM(Q31:R31)</f>
        <v>943972.39335814491</v>
      </c>
      <c r="W31" s="44">
        <f>U31-V31</f>
        <v>12194.981695520692</v>
      </c>
      <c r="X31" s="47">
        <f>U31/V31</f>
        <v>1.01291879061435</v>
      </c>
      <c r="Y31" s="48"/>
      <c r="Z31" s="78">
        <f>B31+C31+D31+E31+F31</f>
        <v>929700.02928741788</v>
      </c>
      <c r="AA31" s="78">
        <f>SUM(I31:S31)-SUM(Q31:R31)-N31</f>
        <v>943972.39335814491</v>
      </c>
      <c r="AB31" s="78">
        <f>Z31-AA31</f>
        <v>-14272.364070727024</v>
      </c>
      <c r="AC31" s="47">
        <f>Z31/AA31</f>
        <v>0.98488052810532556</v>
      </c>
      <c r="AD31" s="48"/>
      <c r="AE31" s="78">
        <v>583285.91481278976</v>
      </c>
      <c r="AF31" s="78">
        <f>O31+P31+Q31+R31+I31+J31</f>
        <v>1231599.3133581448</v>
      </c>
      <c r="AG31" s="83">
        <f>AE31-AF31</f>
        <v>-648313.39854535507</v>
      </c>
      <c r="AH31" s="49">
        <f>AE31/AF31</f>
        <v>0.47360038974231894</v>
      </c>
      <c r="AI31" s="4"/>
    </row>
    <row r="32" spans="1:35" s="3" customFormat="1" x14ac:dyDescent="0.25">
      <c r="A32" s="50" t="s">
        <v>11</v>
      </c>
      <c r="B32" s="46">
        <v>1657109.3091018423</v>
      </c>
      <c r="C32" s="46">
        <v>0</v>
      </c>
      <c r="D32" s="44">
        <v>0</v>
      </c>
      <c r="E32" s="46">
        <v>0</v>
      </c>
      <c r="F32" s="44">
        <v>1369124.3803740083</v>
      </c>
      <c r="G32" s="44">
        <v>290450.13954862178</v>
      </c>
      <c r="H32" s="45"/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1229571.4898999999</v>
      </c>
      <c r="P32" s="44">
        <v>41598.610100000005</v>
      </c>
      <c r="Q32" s="44">
        <v>142113.98000000001</v>
      </c>
      <c r="R32" s="44">
        <v>0</v>
      </c>
      <c r="S32" s="46">
        <v>188289.85299999997</v>
      </c>
      <c r="T32" s="45"/>
      <c r="U32" s="44">
        <f>SUM(B32:G32)</f>
        <v>3316683.8290244723</v>
      </c>
      <c r="V32" s="44">
        <f>SUM(I32:S32)-SUM(Q32:R32)</f>
        <v>1459459.9529999997</v>
      </c>
      <c r="W32" s="44">
        <f>U32-V32</f>
        <v>1857223.8760244725</v>
      </c>
      <c r="X32" s="47">
        <f>U32/V32</f>
        <v>2.2725418550929386</v>
      </c>
      <c r="Y32" s="48"/>
      <c r="Z32" s="78">
        <f>B32+C32+D32+E32+F32</f>
        <v>3026233.6894758507</v>
      </c>
      <c r="AA32" s="78">
        <f>SUM(I32:S32)-SUM(Q32:R32)-N32</f>
        <v>1459459.9529999997</v>
      </c>
      <c r="AB32" s="78">
        <f>Z32-AA32</f>
        <v>1566773.7364758509</v>
      </c>
      <c r="AC32" s="47">
        <f>Z32/AA32</f>
        <v>2.0735297897385001</v>
      </c>
      <c r="AD32" s="48"/>
      <c r="AE32" s="78">
        <v>1657109.3091018423</v>
      </c>
      <c r="AF32" s="78">
        <f>O32+P32+Q32+R32+I32+J32</f>
        <v>1413284.0799999998</v>
      </c>
      <c r="AG32" s="83">
        <f>AE32-AF32</f>
        <v>243825.2291018425</v>
      </c>
      <c r="AH32" s="49">
        <f>AE32/AF32</f>
        <v>1.1725238630734753</v>
      </c>
      <c r="AI32" s="4"/>
    </row>
    <row r="33" spans="1:35" s="3" customFormat="1" x14ac:dyDescent="0.25">
      <c r="A33" s="51" t="s">
        <v>10</v>
      </c>
      <c r="B33" s="46">
        <v>28753.177554567679</v>
      </c>
      <c r="C33" s="46">
        <v>0</v>
      </c>
      <c r="D33" s="44">
        <v>0</v>
      </c>
      <c r="E33" s="46">
        <v>4579.6323380940885</v>
      </c>
      <c r="F33" s="44">
        <v>26993.945528894379</v>
      </c>
      <c r="G33" s="44">
        <v>3607.0461852354647</v>
      </c>
      <c r="H33" s="45"/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78363.274400000024</v>
      </c>
      <c r="P33" s="44">
        <v>0</v>
      </c>
      <c r="Q33" s="44">
        <v>11350.71</v>
      </c>
      <c r="R33" s="44">
        <v>0</v>
      </c>
      <c r="S33" s="46">
        <v>8589.484085417389</v>
      </c>
      <c r="T33" s="45"/>
      <c r="U33" s="44">
        <f>SUM(B33:G33)</f>
        <v>63933.801606791611</v>
      </c>
      <c r="V33" s="44">
        <f>SUM(I33:S33)-SUM(Q33:R33)</f>
        <v>86952.758485417406</v>
      </c>
      <c r="W33" s="44">
        <f>U33-V33</f>
        <v>-23018.956878625795</v>
      </c>
      <c r="X33" s="47">
        <f>U33/V33</f>
        <v>0.73527053908834605</v>
      </c>
      <c r="Y33" s="48"/>
      <c r="Z33" s="78">
        <f>B33+C33+D33+E33+F33</f>
        <v>60326.755421556147</v>
      </c>
      <c r="AA33" s="78">
        <f>SUM(I33:S33)-SUM(Q33:R33)-N33</f>
        <v>86952.758485417406</v>
      </c>
      <c r="AB33" s="78">
        <f>Z33-AA33</f>
        <v>-26626.003063861259</v>
      </c>
      <c r="AC33" s="47">
        <f>Z33/AA33</f>
        <v>0.69378771268853268</v>
      </c>
      <c r="AD33" s="48"/>
      <c r="AE33" s="78">
        <v>28753.177554567679</v>
      </c>
      <c r="AF33" s="78">
        <f>O33+P33+Q33+R33+I33+J33</f>
        <v>89713.984400000016</v>
      </c>
      <c r="AG33" s="83">
        <f>AE33-AF33</f>
        <v>-60960.806845432337</v>
      </c>
      <c r="AH33" s="49">
        <f>AE33/AF33</f>
        <v>0.32049827846646922</v>
      </c>
      <c r="AI33" s="4"/>
    </row>
    <row r="34" spans="1:35" s="3" customFormat="1" x14ac:dyDescent="0.25">
      <c r="A34" s="51" t="s">
        <v>9</v>
      </c>
      <c r="B34" s="46">
        <v>6796545.13827636</v>
      </c>
      <c r="C34" s="46">
        <v>0</v>
      </c>
      <c r="D34" s="44">
        <v>0</v>
      </c>
      <c r="E34" s="46">
        <v>1731464.5660516643</v>
      </c>
      <c r="F34" s="44">
        <v>6372557.1424989942</v>
      </c>
      <c r="G34" s="44">
        <v>857874.07971452037</v>
      </c>
      <c r="H34" s="45"/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30620.251199999984</v>
      </c>
      <c r="P34" s="44">
        <v>0</v>
      </c>
      <c r="Q34" s="44">
        <v>889212.25000000012</v>
      </c>
      <c r="R34" s="44">
        <v>0</v>
      </c>
      <c r="S34" s="46">
        <v>1888589.1351562501</v>
      </c>
      <c r="T34" s="45"/>
      <c r="U34" s="44">
        <f>SUM(B34:G34)</f>
        <v>15758440.926541539</v>
      </c>
      <c r="V34" s="44">
        <f>SUM(I34:S34)-SUM(Q34:R34)</f>
        <v>1919209.3863562504</v>
      </c>
      <c r="W34" s="44">
        <f>U34-V34</f>
        <v>13839231.540185288</v>
      </c>
      <c r="X34" s="47">
        <f>U34/V34</f>
        <v>8.2109023843719378</v>
      </c>
      <c r="Y34" s="48"/>
      <c r="Z34" s="78">
        <f>B34+C34+D34+E34+F34</f>
        <v>14900566.846827019</v>
      </c>
      <c r="AA34" s="78">
        <f>SUM(I34:S34)-SUM(Q34:R34)-N34</f>
        <v>1919209.3863562504</v>
      </c>
      <c r="AB34" s="78">
        <f>Z34-AA34</f>
        <v>12981357.46047077</v>
      </c>
      <c r="AC34" s="47">
        <f>Z34/AA34</f>
        <v>7.7639089058004034</v>
      </c>
      <c r="AD34" s="48"/>
      <c r="AE34" s="78">
        <v>6796545.13827636</v>
      </c>
      <c r="AF34" s="78">
        <f>O34+P34+Q34+R34+I34+J34</f>
        <v>919832.50120000006</v>
      </c>
      <c r="AG34" s="83">
        <f>AE34-AF34</f>
        <v>5876712.6370763602</v>
      </c>
      <c r="AH34" s="49">
        <f>AE34/AF34</f>
        <v>7.388894314355805</v>
      </c>
      <c r="AI34" s="4"/>
    </row>
    <row r="35" spans="1:35" s="3" customFormat="1" ht="15.75" thickBot="1" x14ac:dyDescent="0.3">
      <c r="A35" s="51" t="s">
        <v>8</v>
      </c>
      <c r="B35" s="46">
        <v>0</v>
      </c>
      <c r="C35" s="46">
        <v>0</v>
      </c>
      <c r="D35" s="44">
        <v>0</v>
      </c>
      <c r="E35" s="46">
        <v>0</v>
      </c>
      <c r="F35" s="44">
        <v>0</v>
      </c>
      <c r="G35" s="44">
        <v>0</v>
      </c>
      <c r="H35" s="45"/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240814.38</v>
      </c>
      <c r="P35" s="44">
        <v>32135.759999999998</v>
      </c>
      <c r="Q35" s="44">
        <v>0</v>
      </c>
      <c r="R35" s="44">
        <v>0</v>
      </c>
      <c r="S35" s="46">
        <v>0</v>
      </c>
      <c r="T35" s="45"/>
      <c r="U35" s="82">
        <f>SUM(B35:G35)</f>
        <v>0</v>
      </c>
      <c r="V35" s="82">
        <f>SUM(I35:S35)-SUM(Q35:R35)</f>
        <v>272950.14</v>
      </c>
      <c r="W35" s="52">
        <f>U35-V35</f>
        <v>-272950.14</v>
      </c>
      <c r="X35" s="59">
        <f>U35/V35</f>
        <v>0</v>
      </c>
      <c r="Y35" s="48"/>
      <c r="Z35" s="79">
        <f>B35+C35+D35+E35+F35</f>
        <v>0</v>
      </c>
      <c r="AA35" s="79">
        <f>SUM(I35:S35)-SUM(Q35:R35)-N35</f>
        <v>272950.14</v>
      </c>
      <c r="AB35" s="79">
        <f>Z35-AA35</f>
        <v>-272950.14</v>
      </c>
      <c r="AC35" s="60">
        <f>Z35/AA35</f>
        <v>0</v>
      </c>
      <c r="AD35" s="48"/>
      <c r="AE35" s="79">
        <v>0</v>
      </c>
      <c r="AF35" s="79">
        <f>O35+P35+Q35+R35+I35+J35</f>
        <v>272950.14</v>
      </c>
      <c r="AG35" s="79">
        <f>AE35-AF35</f>
        <v>-272950.14</v>
      </c>
      <c r="AH35" s="60">
        <f>AE35/AF35</f>
        <v>0</v>
      </c>
      <c r="AI35" s="4"/>
    </row>
    <row r="36" spans="1:35" x14ac:dyDescent="0.25">
      <c r="A36" s="55" t="s">
        <v>7</v>
      </c>
      <c r="B36" s="56">
        <f>B37+B38+B39+B40+B41</f>
        <v>0</v>
      </c>
      <c r="C36" s="56">
        <f>C37+C38+C39+C40+C41</f>
        <v>0</v>
      </c>
      <c r="D36" s="56">
        <f>D37+D38+D39+D40+D41</f>
        <v>0</v>
      </c>
      <c r="E36" s="56">
        <f>E37+E38+E39+E40+E41</f>
        <v>0</v>
      </c>
      <c r="F36" s="56">
        <f>F37+F38+F39+F40+F41</f>
        <v>0</v>
      </c>
      <c r="G36" s="56">
        <f>G37+G38+G39+G40+G41</f>
        <v>0</v>
      </c>
      <c r="H36" s="39"/>
      <c r="I36" s="56">
        <f>I37+I38+I39+I40+I41</f>
        <v>0</v>
      </c>
      <c r="J36" s="56">
        <f t="shared" ref="J36:S36" si="6">J37+J38+J39+J40+J41</f>
        <v>0</v>
      </c>
      <c r="K36" s="56">
        <f t="shared" si="6"/>
        <v>0</v>
      </c>
      <c r="L36" s="56">
        <f t="shared" si="6"/>
        <v>0</v>
      </c>
      <c r="M36" s="56">
        <f t="shared" si="6"/>
        <v>0</v>
      </c>
      <c r="N36" s="56">
        <f t="shared" si="6"/>
        <v>0</v>
      </c>
      <c r="O36" s="56">
        <f t="shared" si="6"/>
        <v>18428509.168280009</v>
      </c>
      <c r="P36" s="56">
        <f t="shared" si="6"/>
        <v>2088086.7709199998</v>
      </c>
      <c r="Q36" s="56">
        <f t="shared" si="6"/>
        <v>-564759.78999999992</v>
      </c>
      <c r="R36" s="56">
        <f t="shared" si="6"/>
        <v>127808.51999999999</v>
      </c>
      <c r="S36" s="56">
        <f t="shared" si="6"/>
        <v>0</v>
      </c>
      <c r="T36" s="39"/>
      <c r="U36" s="57">
        <f>SUM(B36:G36)</f>
        <v>0</v>
      </c>
      <c r="V36" s="57">
        <f>SUM(I36:S36)-SUM(Q36:R36)</f>
        <v>20516595.93920001</v>
      </c>
      <c r="W36" s="56">
        <f>U36-V36</f>
        <v>-20516595.93920001</v>
      </c>
      <c r="X36" s="61" t="s">
        <v>1</v>
      </c>
      <c r="Y36" s="41"/>
      <c r="Z36" s="80">
        <f>B36+C36+D36+E36+F36</f>
        <v>0</v>
      </c>
      <c r="AA36" s="80">
        <f>SUM(I36:S36)-SUM(Q36:R36)-N36</f>
        <v>20516595.93920001</v>
      </c>
      <c r="AB36" s="80">
        <f>Z36-AA36</f>
        <v>-20516595.93920001</v>
      </c>
      <c r="AC36" s="62" t="s">
        <v>1</v>
      </c>
      <c r="AD36" s="41"/>
      <c r="AE36" s="80">
        <f>B36+C36</f>
        <v>0</v>
      </c>
      <c r="AF36" s="80">
        <f>O36+P36+Q36+R36+I36+J36</f>
        <v>20079644.669200011</v>
      </c>
      <c r="AG36" s="80">
        <f>AE36-AF36</f>
        <v>-20079644.669200011</v>
      </c>
      <c r="AH36" s="63" t="s">
        <v>1</v>
      </c>
      <c r="AI36" s="5"/>
    </row>
    <row r="37" spans="1:35" s="3" customFormat="1" x14ac:dyDescent="0.25">
      <c r="A37" s="50" t="s">
        <v>6</v>
      </c>
      <c r="B37" s="44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5"/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3675220.2800000007</v>
      </c>
      <c r="P37" s="44">
        <v>0</v>
      </c>
      <c r="Q37" s="44">
        <v>0</v>
      </c>
      <c r="R37" s="44">
        <v>0</v>
      </c>
      <c r="S37" s="44">
        <v>0</v>
      </c>
      <c r="T37" s="45"/>
      <c r="U37" s="44">
        <f>SUM(B37:G37)</f>
        <v>0</v>
      </c>
      <c r="V37" s="44">
        <f>SUM(I37:S37)-SUM(Q37:R37)</f>
        <v>3675220.2800000007</v>
      </c>
      <c r="W37" s="44">
        <f>U37-V37</f>
        <v>-3675220.2800000007</v>
      </c>
      <c r="X37" s="53" t="s">
        <v>1</v>
      </c>
      <c r="Y37" s="48"/>
      <c r="Z37" s="78">
        <f>B37+C37+D37+E37+F37</f>
        <v>0</v>
      </c>
      <c r="AA37" s="78">
        <f>SUM(I37:S37)-SUM(Q37:R37)-N37</f>
        <v>3675220.2800000007</v>
      </c>
      <c r="AB37" s="78">
        <f>Z37-AA37</f>
        <v>-3675220.2800000007</v>
      </c>
      <c r="AC37" s="53" t="s">
        <v>1</v>
      </c>
      <c r="AD37" s="48"/>
      <c r="AE37" s="78">
        <f>B37+C37</f>
        <v>0</v>
      </c>
      <c r="AF37" s="78">
        <f>O37+P37+Q37+R37+I37+J37</f>
        <v>3675220.2800000007</v>
      </c>
      <c r="AG37" s="83">
        <f>AE37-AF37</f>
        <v>-3675220.2800000007</v>
      </c>
      <c r="AH37" s="53" t="s">
        <v>1</v>
      </c>
      <c r="AI37" s="4"/>
    </row>
    <row r="38" spans="1:35" s="3" customFormat="1" x14ac:dyDescent="0.25">
      <c r="A38" s="50" t="s">
        <v>5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5"/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3535351.5999999992</v>
      </c>
      <c r="P38" s="44">
        <v>562268.71</v>
      </c>
      <c r="Q38" s="44">
        <v>0</v>
      </c>
      <c r="R38" s="44">
        <v>0</v>
      </c>
      <c r="S38" s="44">
        <v>0</v>
      </c>
      <c r="T38" s="45"/>
      <c r="U38" s="44">
        <f>SUM(B38:G38)</f>
        <v>0</v>
      </c>
      <c r="V38" s="44">
        <f>SUM(I38:S38)-SUM(Q38:R38)</f>
        <v>4097620.3099999991</v>
      </c>
      <c r="W38" s="44">
        <f>U38-V38</f>
        <v>-4097620.3099999991</v>
      </c>
      <c r="X38" s="53" t="s">
        <v>1</v>
      </c>
      <c r="Y38" s="48"/>
      <c r="Z38" s="78">
        <f>B38+C38+D38+E38+F38</f>
        <v>0</v>
      </c>
      <c r="AA38" s="78">
        <f>SUM(I38:S38)-SUM(Q38:R38)-N38</f>
        <v>4097620.3099999991</v>
      </c>
      <c r="AB38" s="78">
        <f>Z38-AA38</f>
        <v>-4097620.3099999991</v>
      </c>
      <c r="AC38" s="53" t="s">
        <v>1</v>
      </c>
      <c r="AD38" s="48"/>
      <c r="AE38" s="78">
        <f>B38+C38</f>
        <v>0</v>
      </c>
      <c r="AF38" s="78">
        <f>O38+P38+Q38+R38+I38+J38</f>
        <v>4097620.3099999991</v>
      </c>
      <c r="AG38" s="83">
        <f>AE38-AF38</f>
        <v>-4097620.3099999991</v>
      </c>
      <c r="AH38" s="53" t="s">
        <v>1</v>
      </c>
      <c r="AI38" s="4"/>
    </row>
    <row r="39" spans="1:35" s="3" customFormat="1" x14ac:dyDescent="0.25">
      <c r="A39" s="50" t="s">
        <v>4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5"/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4190226.3982800003</v>
      </c>
      <c r="P39" s="44">
        <v>572095.82791999995</v>
      </c>
      <c r="Q39" s="44">
        <v>0</v>
      </c>
      <c r="R39" s="44">
        <v>0</v>
      </c>
      <c r="S39" s="44">
        <v>0</v>
      </c>
      <c r="T39" s="45"/>
      <c r="U39" s="44">
        <f>SUM(B39:G39)</f>
        <v>0</v>
      </c>
      <c r="V39" s="44">
        <f>SUM(I39:S39)-SUM(Q39:R39)</f>
        <v>4762322.2262000004</v>
      </c>
      <c r="W39" s="44">
        <f>U39-V39</f>
        <v>-4762322.2262000004</v>
      </c>
      <c r="X39" s="53" t="s">
        <v>1</v>
      </c>
      <c r="Y39" s="48"/>
      <c r="Z39" s="78">
        <f>B39+C39+D39+E39+F39</f>
        <v>0</v>
      </c>
      <c r="AA39" s="78">
        <f>SUM(I39:S39)-SUM(Q39:R39)-N39</f>
        <v>4762322.2262000004</v>
      </c>
      <c r="AB39" s="78">
        <f>Z39-AA39</f>
        <v>-4762322.2262000004</v>
      </c>
      <c r="AC39" s="53" t="s">
        <v>1</v>
      </c>
      <c r="AD39" s="48"/>
      <c r="AE39" s="78">
        <f>B39+C39</f>
        <v>0</v>
      </c>
      <c r="AF39" s="78">
        <f>O39+P39+Q39+R39+I39+J39</f>
        <v>4762322.2262000004</v>
      </c>
      <c r="AG39" s="83">
        <f>AE39-AF39</f>
        <v>-4762322.2262000004</v>
      </c>
      <c r="AH39" s="53" t="s">
        <v>1</v>
      </c>
      <c r="AI39" s="4"/>
    </row>
    <row r="40" spans="1:35" s="3" customFormat="1" x14ac:dyDescent="0.25">
      <c r="A40" s="51" t="s">
        <v>3</v>
      </c>
      <c r="B40" s="52">
        <v>0</v>
      </c>
      <c r="C40" s="52">
        <v>0</v>
      </c>
      <c r="D40" s="52">
        <v>0</v>
      </c>
      <c r="E40" s="52">
        <v>0</v>
      </c>
      <c r="F40" s="44">
        <v>0</v>
      </c>
      <c r="G40" s="52">
        <v>0</v>
      </c>
      <c r="H40" s="45"/>
      <c r="I40" s="52">
        <v>0</v>
      </c>
      <c r="J40" s="52">
        <v>0</v>
      </c>
      <c r="K40" s="52">
        <v>0</v>
      </c>
      <c r="L40" s="52">
        <v>0</v>
      </c>
      <c r="M40" s="44">
        <v>0</v>
      </c>
      <c r="N40" s="52">
        <v>0</v>
      </c>
      <c r="O40" s="44">
        <v>6243157.7900000056</v>
      </c>
      <c r="P40" s="44">
        <v>856317.60999999975</v>
      </c>
      <c r="Q40" s="44">
        <v>0</v>
      </c>
      <c r="R40" s="44">
        <v>0</v>
      </c>
      <c r="S40" s="44">
        <v>0</v>
      </c>
      <c r="T40" s="45"/>
      <c r="U40" s="44">
        <f>SUM(B40:G40)</f>
        <v>0</v>
      </c>
      <c r="V40" s="44">
        <f>SUM(I40:S40)-SUM(Q40:R40)</f>
        <v>7099475.400000005</v>
      </c>
      <c r="W40" s="52">
        <f>U40-V40</f>
        <v>-7099475.400000005</v>
      </c>
      <c r="X40" s="64" t="s">
        <v>1</v>
      </c>
      <c r="Y40" s="48"/>
      <c r="Z40" s="78">
        <f>B40+C40+D40+E40+F40</f>
        <v>0</v>
      </c>
      <c r="AA40" s="78">
        <f>SUM(I40:S40)-SUM(Q40:R40)-N40</f>
        <v>7099475.400000005</v>
      </c>
      <c r="AB40" s="81">
        <f>Z40-AA40</f>
        <v>-7099475.400000005</v>
      </c>
      <c r="AC40" s="64" t="s">
        <v>1</v>
      </c>
      <c r="AD40" s="48"/>
      <c r="AE40" s="78">
        <f>B40+C40</f>
        <v>0</v>
      </c>
      <c r="AF40" s="78">
        <f>O40+P40+Q40+R40+I40+J40</f>
        <v>7099475.400000005</v>
      </c>
      <c r="AG40" s="81">
        <f>AE40-AF40</f>
        <v>-7099475.400000005</v>
      </c>
      <c r="AH40" s="64" t="s">
        <v>1</v>
      </c>
      <c r="AI40" s="4"/>
    </row>
    <row r="41" spans="1:35" s="3" customFormat="1" ht="15.75" thickBot="1" x14ac:dyDescent="0.3">
      <c r="A41" s="50" t="s">
        <v>2</v>
      </c>
      <c r="B41" s="52">
        <v>0</v>
      </c>
      <c r="C41" s="52">
        <v>0</v>
      </c>
      <c r="D41" s="52">
        <v>0</v>
      </c>
      <c r="E41" s="52">
        <v>0</v>
      </c>
      <c r="F41" s="44">
        <v>0</v>
      </c>
      <c r="G41" s="52">
        <v>0</v>
      </c>
      <c r="H41" s="45"/>
      <c r="I41" s="52">
        <v>0</v>
      </c>
      <c r="J41" s="52">
        <v>0</v>
      </c>
      <c r="K41" s="52">
        <v>0</v>
      </c>
      <c r="L41" s="52">
        <v>0</v>
      </c>
      <c r="M41" s="44">
        <v>0</v>
      </c>
      <c r="N41" s="52">
        <v>0</v>
      </c>
      <c r="O41" s="44">
        <v>784553.09999999974</v>
      </c>
      <c r="P41" s="44">
        <v>97404.622999999992</v>
      </c>
      <c r="Q41" s="44">
        <v>-564759.78999999992</v>
      </c>
      <c r="R41" s="44">
        <v>127808.51999999999</v>
      </c>
      <c r="S41" s="44">
        <v>0</v>
      </c>
      <c r="T41" s="45"/>
      <c r="U41" s="44">
        <f>SUM(B41:G41)</f>
        <v>0</v>
      </c>
      <c r="V41" s="44">
        <f>SUM(I41:S41)-SUM(Q41:R41)</f>
        <v>881957.72299999977</v>
      </c>
      <c r="W41" s="52">
        <f>U41-V41</f>
        <v>-881957.72299999977</v>
      </c>
      <c r="X41" s="64" t="s">
        <v>1</v>
      </c>
      <c r="Y41" s="48"/>
      <c r="Z41" s="78">
        <f>B41+C41+D41+E41+F41</f>
        <v>0</v>
      </c>
      <c r="AA41" s="78">
        <f>SUM(I41:S41)-SUM(Q41:R41)-N41</f>
        <v>881957.72299999977</v>
      </c>
      <c r="AB41" s="81">
        <f>Z41-AA41</f>
        <v>-881957.72299999977</v>
      </c>
      <c r="AC41" s="64" t="s">
        <v>1</v>
      </c>
      <c r="AD41" s="48"/>
      <c r="AE41" s="78">
        <f>B41+C41</f>
        <v>0</v>
      </c>
      <c r="AF41" s="78">
        <f>O41+P41+Q41+R41+I41+J41</f>
        <v>445006.45299999986</v>
      </c>
      <c r="AG41" s="81">
        <f>AE41-AF41</f>
        <v>-445006.45299999986</v>
      </c>
      <c r="AH41" s="64" t="s">
        <v>1</v>
      </c>
      <c r="AI41" s="4"/>
    </row>
    <row r="42" spans="1:35" ht="15.75" thickBot="1" x14ac:dyDescent="0.3">
      <c r="A42" s="66" t="s">
        <v>0</v>
      </c>
      <c r="B42" s="67">
        <f>B4+B24+B36</f>
        <v>185991607.2929568</v>
      </c>
      <c r="C42" s="67">
        <f t="shared" ref="C42:G42" si="7">C4+C24+C36</f>
        <v>107321171.7965617</v>
      </c>
      <c r="D42" s="67">
        <f t="shared" si="7"/>
        <v>18537840.400305565</v>
      </c>
      <c r="E42" s="67">
        <f t="shared" si="7"/>
        <v>41622733.549100392</v>
      </c>
      <c r="F42" s="67">
        <f t="shared" si="7"/>
        <v>131698348.63058627</v>
      </c>
      <c r="G42" s="67">
        <f t="shared" si="7"/>
        <v>18674835.949231599</v>
      </c>
      <c r="H42" s="68"/>
      <c r="I42" s="69">
        <f>I4+I24+I36</f>
        <v>1440484.9719740455</v>
      </c>
      <c r="J42" s="69">
        <f t="shared" ref="J42:S42" si="8">J4+J24+J36</f>
        <v>9651803.6732707284</v>
      </c>
      <c r="K42" s="69">
        <f t="shared" si="8"/>
        <v>0</v>
      </c>
      <c r="L42" s="69">
        <f t="shared" si="8"/>
        <v>0</v>
      </c>
      <c r="M42" s="69">
        <f t="shared" si="8"/>
        <v>177.86478382159032</v>
      </c>
      <c r="N42" s="69">
        <f t="shared" si="8"/>
        <v>6305.0947610493686</v>
      </c>
      <c r="O42" s="69">
        <f t="shared" si="8"/>
        <v>57326967.699480012</v>
      </c>
      <c r="P42" s="69">
        <f t="shared" si="8"/>
        <v>7261574.7502922108</v>
      </c>
      <c r="Q42" s="69">
        <f t="shared" si="8"/>
        <v>67450929.189999983</v>
      </c>
      <c r="R42" s="69">
        <f t="shared" si="8"/>
        <v>9835884.9899999984</v>
      </c>
      <c r="S42" s="69">
        <f t="shared" si="8"/>
        <v>111945486.31451571</v>
      </c>
      <c r="T42" s="68"/>
      <c r="U42" s="67">
        <f>SUM(B42:G42)</f>
        <v>503846537.61874235</v>
      </c>
      <c r="V42" s="67">
        <f>SUM(I42:S42)-SUM(Q42:R42)</f>
        <v>187632800.36907759</v>
      </c>
      <c r="W42" s="67">
        <f>U42-V42</f>
        <v>316213737.24966478</v>
      </c>
      <c r="X42" s="70">
        <f>U42/V42</f>
        <v>2.6852796346250005</v>
      </c>
      <c r="Y42" s="71"/>
      <c r="Z42" s="72">
        <f>B42+C42+D42+E42+F42</f>
        <v>485171701.66951072</v>
      </c>
      <c r="AA42" s="72">
        <f>SUM(I42:S42)-SUM(Q42:R42)-N42</f>
        <v>187626495.27431655</v>
      </c>
      <c r="AB42" s="72">
        <f>Z42-AA42</f>
        <v>297545206.39519417</v>
      </c>
      <c r="AC42" s="70">
        <f>Z42/AA42</f>
        <v>2.5858378954431389</v>
      </c>
      <c r="AD42" s="71"/>
      <c r="AE42" s="72">
        <f>AE4+AE24+AE36</f>
        <v>218595802.21604723</v>
      </c>
      <c r="AF42" s="72">
        <f>AF4+AF24+AF36</f>
        <v>152967645.27501699</v>
      </c>
      <c r="AG42" s="72">
        <f>AG4+AG24+AG36</f>
        <v>65628156.941030242</v>
      </c>
      <c r="AH42" s="70">
        <f>AE42/AF42</f>
        <v>1.4290329293037027</v>
      </c>
      <c r="AI42" s="73"/>
    </row>
    <row r="43" spans="1:35" x14ac:dyDescent="0.25">
      <c r="A43" s="66" t="s">
        <v>111</v>
      </c>
      <c r="B43" s="67">
        <f>B42-SUM(B6:B16)</f>
        <v>140907593.62899768</v>
      </c>
      <c r="C43" s="67">
        <f t="shared" ref="C43:G43" si="9">C42-SUM(C6:C16)</f>
        <v>99536157.633392304</v>
      </c>
      <c r="D43" s="67">
        <f t="shared" si="9"/>
        <v>12200583.302454101</v>
      </c>
      <c r="E43" s="67">
        <f t="shared" si="9"/>
        <v>27926003.19561141</v>
      </c>
      <c r="F43" s="67">
        <f t="shared" si="9"/>
        <v>104526431.38981301</v>
      </c>
      <c r="G43" s="67">
        <f t="shared" si="9"/>
        <v>13821104.550400604</v>
      </c>
      <c r="H43" s="68"/>
      <c r="I43" s="69">
        <f>I42-SUM(I6:I16)</f>
        <v>1392709.1296974395</v>
      </c>
      <c r="J43" s="69">
        <f t="shared" ref="J43:S43" si="10">J42-SUM(J6:J16)</f>
        <v>5059647.8872608198</v>
      </c>
      <c r="K43" s="69">
        <f t="shared" si="10"/>
        <v>0</v>
      </c>
      <c r="L43" s="69">
        <f t="shared" si="10"/>
        <v>0</v>
      </c>
      <c r="M43" s="69">
        <f t="shared" si="10"/>
        <v>127.06372602812638</v>
      </c>
      <c r="N43" s="69">
        <f t="shared" si="10"/>
        <v>21.579348329323693</v>
      </c>
      <c r="O43" s="69">
        <f t="shared" si="10"/>
        <v>39876224.838580012</v>
      </c>
      <c r="P43" s="69">
        <f t="shared" si="10"/>
        <v>4820971.0653922111</v>
      </c>
      <c r="Q43" s="69">
        <f t="shared" si="10"/>
        <v>37189040.939999983</v>
      </c>
      <c r="R43" s="69">
        <f t="shared" si="10"/>
        <v>5663336.629999999</v>
      </c>
      <c r="S43" s="69">
        <f t="shared" si="10"/>
        <v>74602142.902154729</v>
      </c>
      <c r="T43" s="68"/>
      <c r="U43" s="67">
        <f>U42-SUM(U6:U16)</f>
        <v>398917873.70066911</v>
      </c>
      <c r="V43" s="67">
        <f>V42-SUM(V6:V16)</f>
        <v>125751844.46615955</v>
      </c>
      <c r="W43" s="67">
        <f>W42-SUM(W6:W16)</f>
        <v>273166029.23450959</v>
      </c>
      <c r="X43" s="70">
        <f>U43/V43</f>
        <v>3.1722626049275955</v>
      </c>
      <c r="Y43" s="71"/>
      <c r="Z43" s="72">
        <f>Z42-SUM(Z6:Z16)</f>
        <v>385096769.15026844</v>
      </c>
      <c r="AA43" s="72">
        <f>AA42-SUM(AA6:AA16)</f>
        <v>125751822.88681124</v>
      </c>
      <c r="AB43" s="72">
        <f>AB42-SUM(AB6:AB16)</f>
        <v>259344946.26345724</v>
      </c>
      <c r="AC43" s="70">
        <f>Z43/AA43</f>
        <v>3.0623553624100754</v>
      </c>
      <c r="AD43" s="71"/>
      <c r="AE43" s="74">
        <f>AE42-SUM(AE6:AE16)</f>
        <v>166925281.3917172</v>
      </c>
      <c r="AF43" s="72">
        <f>AF42-SUM(AF6:AF16)</f>
        <v>94001930.490930468</v>
      </c>
      <c r="AG43" s="72">
        <f>AG42-SUM(AG6:AG16)</f>
        <v>72923350.900786743</v>
      </c>
      <c r="AH43" s="70">
        <f>AE43/AF43</f>
        <v>1.775764396751645</v>
      </c>
      <c r="AI43" s="73"/>
    </row>
    <row r="44" spans="1:35" x14ac:dyDescent="0.25"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75" t="s">
        <v>112</v>
      </c>
      <c r="AF44" s="75"/>
      <c r="AG44" s="75"/>
      <c r="AH44" s="75"/>
      <c r="AI44" s="1"/>
    </row>
    <row r="45" spans="1:35" x14ac:dyDescent="0.25"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76"/>
      <c r="AF45" s="76"/>
      <c r="AG45" s="76"/>
      <c r="AH45" s="76"/>
      <c r="AI45" s="1"/>
    </row>
    <row r="46" spans="1:35" x14ac:dyDescent="0.25"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"/>
      <c r="AF46" s="1"/>
      <c r="AG46" s="1"/>
      <c r="AH46" s="1"/>
      <c r="AI46" s="1"/>
    </row>
    <row r="47" spans="1:35" x14ac:dyDescent="0.25"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8:35" x14ac:dyDescent="0.25"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</sheetData>
  <autoFilter ref="A3:AH35" xr:uid="{012B4FA6-4BE1-4C55-B18D-B657EDE9A864}"/>
  <mergeCells count="7">
    <mergeCell ref="AE44:AH45"/>
    <mergeCell ref="AE1:AH1"/>
    <mergeCell ref="A1:A2"/>
    <mergeCell ref="B1:G1"/>
    <mergeCell ref="I1:S1"/>
    <mergeCell ref="U1:X1"/>
    <mergeCell ref="Z1:AC1"/>
  </mergeCells>
  <pageMargins left="0.25" right="0.25" top="0.75" bottom="0.75" header="0.3" footer="0.3"/>
  <pageSetup scale="44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330D-F5BC-4E4A-8E14-E4CE648243CC}">
  <dimension ref="A1:AI4"/>
  <sheetViews>
    <sheetView workbookViewId="0">
      <selection activeCell="AJ11" sqref="A7:AJ11"/>
    </sheetView>
  </sheetViews>
  <sheetFormatPr defaultRowHeight="15" x14ac:dyDescent="0.25"/>
  <cols>
    <col min="1" max="1" width="19.85546875" bestFit="1" customWidth="1"/>
    <col min="2" max="2" width="16.140625" customWidth="1"/>
    <col min="3" max="3" width="15.5703125" customWidth="1"/>
    <col min="4" max="5" width="11.5703125" bestFit="1" customWidth="1"/>
    <col min="6" max="6" width="14.28515625" bestFit="1" customWidth="1"/>
    <col min="7" max="7" width="11.5703125" bestFit="1" customWidth="1"/>
    <col min="8" max="8" width="1.42578125" customWidth="1"/>
    <col min="9" max="9" width="15.42578125" bestFit="1" customWidth="1"/>
    <col min="10" max="15" width="15.42578125" customWidth="1"/>
    <col min="16" max="18" width="11.5703125" bestFit="1" customWidth="1"/>
    <col min="19" max="19" width="14.28515625" bestFit="1" customWidth="1"/>
    <col min="20" max="20" width="2.28515625" customWidth="1"/>
    <col min="21" max="21" width="20.42578125" customWidth="1"/>
    <col min="22" max="22" width="22.28515625" customWidth="1"/>
    <col min="23" max="23" width="15.85546875" customWidth="1"/>
    <col min="24" max="24" width="13.42578125" customWidth="1"/>
    <col min="25" max="25" width="2.28515625" customWidth="1"/>
    <col min="26" max="26" width="20.140625" customWidth="1"/>
    <col min="27" max="27" width="20.5703125" bestFit="1" customWidth="1"/>
    <col min="28" max="28" width="15.85546875" customWidth="1"/>
    <col min="30" max="30" width="2" customWidth="1"/>
    <col min="31" max="31" width="16.85546875" customWidth="1"/>
    <col min="32" max="32" width="21.28515625" customWidth="1"/>
    <col min="33" max="33" width="18.7109375" bestFit="1" customWidth="1"/>
    <col min="34" max="34" width="14.140625" bestFit="1" customWidth="1"/>
    <col min="35" max="35" width="2" customWidth="1"/>
  </cols>
  <sheetData>
    <row r="1" spans="1:35" x14ac:dyDescent="0.25">
      <c r="A1" s="19" t="s">
        <v>93</v>
      </c>
      <c r="B1" s="17" t="s">
        <v>92</v>
      </c>
      <c r="C1" s="16"/>
      <c r="D1" s="16"/>
      <c r="E1" s="16"/>
      <c r="F1" s="16"/>
      <c r="G1" s="16"/>
      <c r="H1" s="14"/>
      <c r="I1" s="17" t="s">
        <v>91</v>
      </c>
      <c r="J1" s="16"/>
      <c r="K1" s="16"/>
      <c r="L1" s="16"/>
      <c r="M1" s="16"/>
      <c r="N1" s="16"/>
      <c r="O1" s="16"/>
      <c r="P1" s="16"/>
      <c r="Q1" s="16"/>
      <c r="R1" s="16"/>
      <c r="S1" s="15"/>
      <c r="T1" s="14"/>
      <c r="U1" s="17" t="s">
        <v>90</v>
      </c>
      <c r="V1" s="16"/>
      <c r="W1" s="16"/>
      <c r="X1" s="15"/>
      <c r="Y1" s="18"/>
      <c r="Z1" s="17" t="s">
        <v>89</v>
      </c>
      <c r="AA1" s="16"/>
      <c r="AB1" s="16"/>
      <c r="AC1" s="15"/>
      <c r="AD1" s="14"/>
      <c r="AE1" s="17" t="s">
        <v>88</v>
      </c>
      <c r="AF1" s="16"/>
      <c r="AG1" s="16"/>
      <c r="AH1" s="15"/>
      <c r="AI1" s="14"/>
    </row>
    <row r="2" spans="1:35" ht="40.5" x14ac:dyDescent="0.25">
      <c r="A2" s="12"/>
      <c r="B2" s="11" t="s">
        <v>87</v>
      </c>
      <c r="C2" s="9" t="s">
        <v>86</v>
      </c>
      <c r="D2" s="9" t="s">
        <v>85</v>
      </c>
      <c r="E2" s="9" t="s">
        <v>84</v>
      </c>
      <c r="F2" s="9" t="s">
        <v>83</v>
      </c>
      <c r="G2" s="9" t="s">
        <v>82</v>
      </c>
      <c r="H2" s="5"/>
      <c r="I2" s="11" t="s">
        <v>87</v>
      </c>
      <c r="J2" s="9" t="s">
        <v>86</v>
      </c>
      <c r="K2" s="9" t="s">
        <v>85</v>
      </c>
      <c r="L2" s="9" t="s">
        <v>84</v>
      </c>
      <c r="M2" s="9" t="s">
        <v>83</v>
      </c>
      <c r="N2" s="9" t="s">
        <v>82</v>
      </c>
      <c r="O2" s="10" t="s">
        <v>81</v>
      </c>
      <c r="P2" s="10" t="s">
        <v>80</v>
      </c>
      <c r="Q2" s="10" t="s">
        <v>79</v>
      </c>
      <c r="R2" s="10" t="s">
        <v>78</v>
      </c>
      <c r="S2" s="10" t="s">
        <v>77</v>
      </c>
      <c r="T2" s="5"/>
      <c r="U2" s="9" t="s">
        <v>76</v>
      </c>
      <c r="V2" s="9" t="s">
        <v>75</v>
      </c>
      <c r="W2" s="9" t="s">
        <v>74</v>
      </c>
      <c r="X2" s="9" t="s">
        <v>73</v>
      </c>
      <c r="Y2" s="5"/>
      <c r="Z2" s="9" t="s">
        <v>76</v>
      </c>
      <c r="AA2" s="9" t="s">
        <v>75</v>
      </c>
      <c r="AB2" s="9" t="s">
        <v>74</v>
      </c>
      <c r="AC2" s="9" t="s">
        <v>73</v>
      </c>
      <c r="AD2" s="5"/>
      <c r="AE2" s="8" t="s">
        <v>72</v>
      </c>
      <c r="AF2" s="8" t="s">
        <v>71</v>
      </c>
      <c r="AG2" s="8" t="s">
        <v>70</v>
      </c>
      <c r="AH2" s="8" t="s">
        <v>69</v>
      </c>
      <c r="AI2" s="5"/>
    </row>
    <row r="3" spans="1:35" x14ac:dyDescent="0.25">
      <c r="A3" s="25" t="s">
        <v>68</v>
      </c>
      <c r="B3" s="25" t="s">
        <v>67</v>
      </c>
      <c r="C3" s="25" t="s">
        <v>66</v>
      </c>
      <c r="D3" s="25" t="s">
        <v>65</v>
      </c>
      <c r="E3" s="25" t="s">
        <v>64</v>
      </c>
      <c r="F3" s="25" t="s">
        <v>63</v>
      </c>
      <c r="G3" s="25" t="s">
        <v>62</v>
      </c>
      <c r="H3" s="5"/>
      <c r="I3" s="25" t="s">
        <v>61</v>
      </c>
      <c r="J3" s="25" t="s">
        <v>60</v>
      </c>
      <c r="K3" s="25" t="s">
        <v>59</v>
      </c>
      <c r="L3" s="25" t="s">
        <v>58</v>
      </c>
      <c r="M3" s="25" t="s">
        <v>57</v>
      </c>
      <c r="N3" s="25" t="s">
        <v>56</v>
      </c>
      <c r="O3" s="25" t="s">
        <v>55</v>
      </c>
      <c r="P3" s="25" t="s">
        <v>54</v>
      </c>
      <c r="Q3" s="25" t="s">
        <v>53</v>
      </c>
      <c r="R3" s="25" t="s">
        <v>52</v>
      </c>
      <c r="S3" s="25" t="s">
        <v>51</v>
      </c>
      <c r="T3" s="5"/>
      <c r="U3" s="25" t="s">
        <v>50</v>
      </c>
      <c r="V3" s="25" t="s">
        <v>49</v>
      </c>
      <c r="W3" s="25" t="s">
        <v>48</v>
      </c>
      <c r="X3" s="25" t="s">
        <v>47</v>
      </c>
      <c r="Y3" s="5"/>
      <c r="Z3" s="25" t="s">
        <v>46</v>
      </c>
      <c r="AA3" s="25" t="s">
        <v>45</v>
      </c>
      <c r="AB3" s="25" t="s">
        <v>44</v>
      </c>
      <c r="AC3" s="25" t="s">
        <v>43</v>
      </c>
      <c r="AD3" s="5"/>
      <c r="AE3" s="25" t="s">
        <v>42</v>
      </c>
      <c r="AF3" s="25" t="s">
        <v>41</v>
      </c>
      <c r="AG3" s="25" t="s">
        <v>40</v>
      </c>
      <c r="AH3" s="25" t="s">
        <v>39</v>
      </c>
      <c r="AI3" s="5"/>
    </row>
    <row r="4" spans="1:35" x14ac:dyDescent="0.25">
      <c r="A4" s="85" t="s">
        <v>94</v>
      </c>
      <c r="B4" s="21">
        <v>61576231.553578191</v>
      </c>
      <c r="C4" s="21">
        <v>0</v>
      </c>
      <c r="D4" s="21">
        <v>0</v>
      </c>
      <c r="E4" s="21">
        <v>0</v>
      </c>
      <c r="F4" s="21">
        <v>30370714.909064051</v>
      </c>
      <c r="G4" s="21">
        <v>4829851.7118219994</v>
      </c>
      <c r="H4" s="22"/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30638443</v>
      </c>
      <c r="P4" s="21">
        <v>0</v>
      </c>
      <c r="Q4" s="21">
        <v>0</v>
      </c>
      <c r="R4" s="21">
        <v>0</v>
      </c>
      <c r="S4" s="21">
        <v>11042062.619786002</v>
      </c>
      <c r="T4" s="23"/>
      <c r="U4" s="21">
        <f>Z4+G4</f>
        <v>96776798.174464241</v>
      </c>
      <c r="V4" s="21">
        <f>AA4</f>
        <v>41680505.619786002</v>
      </c>
      <c r="W4" s="21">
        <f>U4-V4</f>
        <v>55096292.554678239</v>
      </c>
      <c r="X4" s="24">
        <f>U4/V4</f>
        <v>2.3218719815271069</v>
      </c>
      <c r="Y4" s="23"/>
      <c r="Z4" s="21">
        <f>SUM(B4:F4)</f>
        <v>91946946.462642238</v>
      </c>
      <c r="AA4" s="21">
        <f>SUM(I4:S4)-SUM(Q4:R4)</f>
        <v>41680505.619786002</v>
      </c>
      <c r="AB4" s="21">
        <f>Z4-AA4</f>
        <v>50266440.842856236</v>
      </c>
      <c r="AC4" s="24">
        <f>Z4/AA4</f>
        <v>2.2059940275531216</v>
      </c>
      <c r="AD4" s="23"/>
      <c r="AE4" s="21">
        <f>B4+C4</f>
        <v>61576231.553578191</v>
      </c>
      <c r="AF4" s="21">
        <f>I4+J4+O4+P4+Q4+R4+S4</f>
        <v>41680505.619786002</v>
      </c>
      <c r="AG4" s="21">
        <f>AE4-AF4</f>
        <v>19895725.933792189</v>
      </c>
      <c r="AH4" s="24">
        <f>AE4/AF4</f>
        <v>1.4773388815213306</v>
      </c>
      <c r="AI4" s="20"/>
    </row>
  </sheetData>
  <mergeCells count="6">
    <mergeCell ref="AE1:AH1"/>
    <mergeCell ref="A1:A2"/>
    <mergeCell ref="B1:G1"/>
    <mergeCell ref="I1:S1"/>
    <mergeCell ref="U1:X1"/>
    <mergeCell ref="Z1:AC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File Info</vt:lpstr>
      <vt:lpstr>SAG Summary - EE Portfolio</vt:lpstr>
      <vt:lpstr>SAG Summary - Voltage Opt.</vt:lpstr>
      <vt:lpstr>'SAG Summary - EE Portfolio'!Print_Area</vt:lpstr>
    </vt:vector>
  </TitlesOfParts>
  <Company>Opinion Dynamics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Ross</dc:creator>
  <cp:lastModifiedBy>Zachary Ross</cp:lastModifiedBy>
  <dcterms:created xsi:type="dcterms:W3CDTF">2025-05-20T12:11:24Z</dcterms:created>
  <dcterms:modified xsi:type="dcterms:W3CDTF">2025-05-20T12:35:02Z</dcterms:modified>
</cp:coreProperties>
</file>