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Ameren IL TRC Reports/"/>
    </mc:Choice>
  </mc:AlternateContent>
  <xr:revisionPtr revIDLastSave="0" documentId="8_{854C55A6-1A00-42DC-8EB8-73A62209EC77}" xr6:coauthVersionLast="47" xr6:coauthVersionMax="47" xr10:uidLastSave="{00000000-0000-0000-0000-000000000000}"/>
  <bookViews>
    <workbookView xWindow="28680" yWindow="-120" windowWidth="29040" windowHeight="15840" tabRatio="1000" activeTab="1" xr2:uid="{1DF6A419-E7DA-4E06-B5D2-583646750622}"/>
  </bookViews>
  <sheets>
    <sheet name="File Info" sheetId="1" r:id="rId1"/>
    <sheet name="2018-2021 EE Summary" sheetId="12" r:id="rId2"/>
    <sheet name="2018-2021 EE Summary (2)" sheetId="14" state="hidden" r:id="rId3"/>
    <sheet name="2018-2021 Voltage Opt. Summary" sheetId="13" r:id="rId4"/>
    <sheet name="Detailed Results" sheetId="17" r:id="rId5"/>
    <sheet name="2021 --&gt;" sheetId="4" r:id="rId6"/>
    <sheet name="SAG Summary - EE Portfolio '21" sheetId="2" r:id="rId7"/>
    <sheet name="SAG Summary - Voltage Opt. '21" sheetId="3" r:id="rId8"/>
    <sheet name="2020 --&gt;" sheetId="5" r:id="rId9"/>
    <sheet name="SAG Summary - EE Portfolio '20" sheetId="8" r:id="rId10"/>
    <sheet name="SAG Summary - Voltage Opt. '20" sheetId="9" r:id="rId11"/>
    <sheet name="2019 --&gt;" sheetId="6" r:id="rId12"/>
    <sheet name="SAG Summary - EE Portfolio '19" sheetId="10" r:id="rId13"/>
    <sheet name="SAG Summary - Voltage Opt. '19" sheetId="16" r:id="rId14"/>
    <sheet name="2018 --&gt;" sheetId="7" r:id="rId15"/>
    <sheet name="SAG Summary - EE Portfolio '18" sheetId="1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13" l="1"/>
  <c r="R9" i="13"/>
  <c r="G9" i="13"/>
  <c r="C9" i="13"/>
  <c r="D9" i="13"/>
  <c r="E9" i="13"/>
  <c r="F9" i="13"/>
  <c r="I9" i="13"/>
  <c r="J9" i="13"/>
  <c r="K9" i="13"/>
  <c r="L9" i="13"/>
  <c r="M9" i="13"/>
  <c r="O9" i="13"/>
  <c r="P9" i="13"/>
  <c r="Q9" i="13"/>
  <c r="T9" i="13"/>
  <c r="U9" i="13"/>
  <c r="V9" i="13"/>
  <c r="B9" i="13"/>
  <c r="B15" i="13"/>
  <c r="B14" i="13"/>
  <c r="B13" i="13"/>
  <c r="U5" i="13" l="1"/>
  <c r="V5" i="13"/>
  <c r="W5" i="13"/>
  <c r="T5" i="13"/>
  <c r="R5" i="13"/>
  <c r="P5" i="13"/>
  <c r="Q5" i="13"/>
  <c r="O5" i="13"/>
  <c r="J5" i="13"/>
  <c r="K5" i="13"/>
  <c r="L5" i="13"/>
  <c r="M5" i="13"/>
  <c r="I5" i="13"/>
  <c r="C5" i="13"/>
  <c r="D5" i="13"/>
  <c r="E5" i="13"/>
  <c r="F5" i="13"/>
  <c r="G5" i="13"/>
  <c r="B5" i="13"/>
  <c r="W4" i="16"/>
  <c r="V4" i="16"/>
  <c r="U4" i="16"/>
  <c r="T4" i="16"/>
  <c r="R4" i="16"/>
  <c r="Q4" i="16"/>
  <c r="P4" i="16"/>
  <c r="O4" i="16"/>
  <c r="C6" i="13" l="1"/>
  <c r="D6" i="13"/>
  <c r="E6" i="13"/>
  <c r="F6" i="13"/>
  <c r="G6" i="13"/>
  <c r="I6" i="13"/>
  <c r="J6" i="13"/>
  <c r="K6" i="13"/>
  <c r="L6" i="13"/>
  <c r="M6" i="13"/>
  <c r="O6" i="13"/>
  <c r="P6" i="13"/>
  <c r="Q6" i="13"/>
  <c r="R6" i="13"/>
  <c r="T6" i="13"/>
  <c r="U6" i="13"/>
  <c r="V6" i="13"/>
  <c r="W6" i="13"/>
  <c r="B6" i="13"/>
  <c r="C7" i="13"/>
  <c r="D7" i="13"/>
  <c r="E7" i="13"/>
  <c r="F7" i="13"/>
  <c r="G7" i="13"/>
  <c r="I7" i="13"/>
  <c r="J7" i="13"/>
  <c r="K7" i="13"/>
  <c r="L7" i="13"/>
  <c r="M7" i="13"/>
  <c r="O7" i="13"/>
  <c r="P7" i="13"/>
  <c r="Q7" i="13"/>
  <c r="R7" i="13"/>
  <c r="T7" i="13"/>
  <c r="U7" i="13"/>
  <c r="V7" i="13"/>
  <c r="W7" i="13"/>
  <c r="B7" i="13"/>
  <c r="U13" i="14"/>
  <c r="V13" i="14"/>
  <c r="U14" i="14"/>
  <c r="V14" i="14"/>
  <c r="U15" i="14"/>
  <c r="V15" i="14"/>
  <c r="T15" i="14"/>
  <c r="T14" i="14"/>
  <c r="T13" i="14"/>
  <c r="P13" i="14"/>
  <c r="R13" i="14" s="1"/>
  <c r="Q13" i="14"/>
  <c r="P14" i="14"/>
  <c r="Q14" i="14"/>
  <c r="P15" i="14"/>
  <c r="Q15" i="14"/>
  <c r="O15" i="14"/>
  <c r="O14" i="14"/>
  <c r="R14" i="14" s="1"/>
  <c r="O13" i="14"/>
  <c r="J13" i="14"/>
  <c r="K13" i="14"/>
  <c r="L13" i="14"/>
  <c r="M13" i="14"/>
  <c r="J14" i="14"/>
  <c r="K14" i="14"/>
  <c r="L14" i="14"/>
  <c r="M14" i="14"/>
  <c r="J15" i="14"/>
  <c r="K15" i="14"/>
  <c r="L15" i="14"/>
  <c r="M15" i="14"/>
  <c r="I15" i="14"/>
  <c r="I14" i="14"/>
  <c r="I13" i="14"/>
  <c r="C13" i="14"/>
  <c r="D13" i="14"/>
  <c r="E13" i="14"/>
  <c r="F13" i="14"/>
  <c r="G13" i="14"/>
  <c r="C14" i="14"/>
  <c r="D14" i="14"/>
  <c r="E14" i="14"/>
  <c r="F14" i="14"/>
  <c r="G14" i="14"/>
  <c r="C15" i="14"/>
  <c r="D15" i="14"/>
  <c r="E15" i="14"/>
  <c r="F15" i="14"/>
  <c r="G15" i="14"/>
  <c r="B15" i="14"/>
  <c r="B14" i="14"/>
  <c r="B13" i="14"/>
  <c r="C29" i="14"/>
  <c r="B29" i="14"/>
  <c r="C28" i="14"/>
  <c r="B28" i="14"/>
  <c r="C27" i="14"/>
  <c r="B27" i="14"/>
  <c r="B25" i="14"/>
  <c r="B24" i="14"/>
  <c r="B23" i="14"/>
  <c r="W15" i="14"/>
  <c r="I11" i="14"/>
  <c r="V10" i="14"/>
  <c r="L10" i="14"/>
  <c r="C10" i="14"/>
  <c r="P9" i="14"/>
  <c r="F9" i="14"/>
  <c r="W7" i="14"/>
  <c r="V7" i="14"/>
  <c r="V11" i="14" s="1"/>
  <c r="U7" i="14"/>
  <c r="U11" i="14" s="1"/>
  <c r="T7" i="14"/>
  <c r="R7" i="14"/>
  <c r="Q7" i="14"/>
  <c r="Q11" i="14" s="1"/>
  <c r="P7" i="14"/>
  <c r="P11" i="14" s="1"/>
  <c r="O7" i="14"/>
  <c r="M7" i="14"/>
  <c r="L7" i="14"/>
  <c r="L11" i="14" s="1"/>
  <c r="K7" i="14"/>
  <c r="J7" i="14"/>
  <c r="J11" i="14" s="1"/>
  <c r="I7" i="14"/>
  <c r="G7" i="14"/>
  <c r="G11" i="14" s="1"/>
  <c r="F7" i="14"/>
  <c r="F11" i="14" s="1"/>
  <c r="E7" i="14"/>
  <c r="D7" i="14"/>
  <c r="C7" i="14"/>
  <c r="B7" i="14"/>
  <c r="B11" i="14" s="1"/>
  <c r="W6" i="14"/>
  <c r="V6" i="14"/>
  <c r="U6" i="14"/>
  <c r="U10" i="14" s="1"/>
  <c r="T6" i="14"/>
  <c r="T10" i="14" s="1"/>
  <c r="R6" i="14"/>
  <c r="Q6" i="14"/>
  <c r="Q10" i="14" s="1"/>
  <c r="P6" i="14"/>
  <c r="O6" i="14"/>
  <c r="M6" i="14"/>
  <c r="M10" i="14" s="1"/>
  <c r="L6" i="14"/>
  <c r="K6" i="14"/>
  <c r="K10" i="14" s="1"/>
  <c r="J6" i="14"/>
  <c r="J10" i="14" s="1"/>
  <c r="I6" i="14"/>
  <c r="I10" i="14" s="1"/>
  <c r="G6" i="14"/>
  <c r="G10" i="14" s="1"/>
  <c r="F6" i="14"/>
  <c r="E6" i="14"/>
  <c r="D6" i="14"/>
  <c r="D17" i="14" s="1"/>
  <c r="C6" i="14"/>
  <c r="B6" i="14"/>
  <c r="B10" i="14" s="1"/>
  <c r="W5" i="14"/>
  <c r="V5" i="14"/>
  <c r="V9" i="14" s="1"/>
  <c r="U5" i="14"/>
  <c r="U9" i="14" s="1"/>
  <c r="T5" i="14"/>
  <c r="R5" i="14"/>
  <c r="Q5" i="14"/>
  <c r="Q9" i="14" s="1"/>
  <c r="P5" i="14"/>
  <c r="O5" i="14"/>
  <c r="O9" i="14" s="1"/>
  <c r="R9" i="14" s="1"/>
  <c r="M5" i="14"/>
  <c r="M9" i="14" s="1"/>
  <c r="L5" i="14"/>
  <c r="L9" i="14" s="1"/>
  <c r="K5" i="14"/>
  <c r="K9" i="14" s="1"/>
  <c r="J5" i="14"/>
  <c r="I5" i="14"/>
  <c r="G5" i="14"/>
  <c r="F5" i="14"/>
  <c r="E5" i="14"/>
  <c r="E9" i="14" s="1"/>
  <c r="D5" i="14"/>
  <c r="D9" i="14" s="1"/>
  <c r="C5" i="14"/>
  <c r="C9" i="14" s="1"/>
  <c r="B5" i="14"/>
  <c r="B9" i="14" s="1"/>
  <c r="W4" i="14"/>
  <c r="V4" i="14"/>
  <c r="V17" i="14" s="1"/>
  <c r="U4" i="14"/>
  <c r="U17" i="14" s="1"/>
  <c r="T4" i="14"/>
  <c r="R4" i="14"/>
  <c r="Q4" i="14"/>
  <c r="P4" i="14"/>
  <c r="O4" i="14"/>
  <c r="M4" i="14"/>
  <c r="L4" i="14"/>
  <c r="L17" i="14" s="1"/>
  <c r="K4" i="14"/>
  <c r="K17" i="14" s="1"/>
  <c r="J4" i="14"/>
  <c r="I4" i="14"/>
  <c r="G4" i="14"/>
  <c r="F4" i="14"/>
  <c r="E4" i="14"/>
  <c r="D4" i="14"/>
  <c r="C4" i="14"/>
  <c r="C17" i="14" s="1"/>
  <c r="B4" i="14"/>
  <c r="B17" i="14" s="1"/>
  <c r="W14" i="14" l="1"/>
  <c r="P19" i="14"/>
  <c r="G19" i="14"/>
  <c r="F19" i="14"/>
  <c r="T19" i="14"/>
  <c r="R15" i="14"/>
  <c r="F18" i="14"/>
  <c r="E19" i="14"/>
  <c r="O19" i="14"/>
  <c r="R19" i="14" s="1"/>
  <c r="I18" i="14"/>
  <c r="M19" i="14"/>
  <c r="G18" i="14"/>
  <c r="Q18" i="14"/>
  <c r="W10" i="14"/>
  <c r="M17" i="14"/>
  <c r="G9" i="14"/>
  <c r="D10" i="14"/>
  <c r="T11" i="14"/>
  <c r="W11" i="14" s="1"/>
  <c r="E17" i="14"/>
  <c r="B18" i="14"/>
  <c r="O10" i="14"/>
  <c r="K11" i="14"/>
  <c r="F17" i="14"/>
  <c r="P17" i="14"/>
  <c r="L18" i="14"/>
  <c r="T9" i="14"/>
  <c r="C11" i="14"/>
  <c r="C18" i="14" s="1"/>
  <c r="I19" i="14"/>
  <c r="G17" i="14"/>
  <c r="Q17" i="14"/>
  <c r="M18" i="14"/>
  <c r="D11" i="14"/>
  <c r="J19" i="14"/>
  <c r="B19" i="14"/>
  <c r="E11" i="14"/>
  <c r="O11" i="14"/>
  <c r="R11" i="14" s="1"/>
  <c r="K19" i="14"/>
  <c r="W13" i="14"/>
  <c r="Q19" i="14"/>
  <c r="D19" i="14"/>
  <c r="J17" i="14"/>
  <c r="T17" i="14"/>
  <c r="W17" i="14" s="1"/>
  <c r="O17" i="14"/>
  <c r="R17" i="14" s="1"/>
  <c r="K18" i="14"/>
  <c r="U18" i="14"/>
  <c r="I9" i="14"/>
  <c r="E10" i="14"/>
  <c r="E18" i="14" s="1"/>
  <c r="V18" i="14"/>
  <c r="J9" i="14"/>
  <c r="J18" i="14" s="1"/>
  <c r="F10" i="14"/>
  <c r="P10" i="14"/>
  <c r="P18" i="14" s="1"/>
  <c r="D18" i="14"/>
  <c r="M11" i="14"/>
  <c r="I17" i="14"/>
  <c r="C19" i="14"/>
  <c r="L19" i="14"/>
  <c r="V19" i="14"/>
  <c r="B15" i="12"/>
  <c r="B14" i="12"/>
  <c r="B13" i="12"/>
  <c r="C7" i="12"/>
  <c r="C9" i="12" s="1"/>
  <c r="D7" i="12"/>
  <c r="E7" i="12"/>
  <c r="F7" i="12"/>
  <c r="G7" i="12"/>
  <c r="J7" i="12"/>
  <c r="K7" i="12"/>
  <c r="L7" i="12"/>
  <c r="M7" i="12"/>
  <c r="M9" i="12" s="1"/>
  <c r="P7" i="12"/>
  <c r="Q7" i="12"/>
  <c r="R7" i="12"/>
  <c r="U7" i="12"/>
  <c r="V7" i="12"/>
  <c r="W7" i="12"/>
  <c r="T7" i="12"/>
  <c r="O7" i="12"/>
  <c r="I7" i="12"/>
  <c r="B7" i="12"/>
  <c r="U6" i="12"/>
  <c r="V6" i="12"/>
  <c r="W6" i="12"/>
  <c r="P6" i="12"/>
  <c r="Q6" i="12"/>
  <c r="R6" i="12"/>
  <c r="J6" i="12"/>
  <c r="K6" i="12"/>
  <c r="L6" i="12"/>
  <c r="M6" i="12"/>
  <c r="C6" i="12"/>
  <c r="D6" i="12"/>
  <c r="E6" i="12"/>
  <c r="F6" i="12"/>
  <c r="G6" i="12"/>
  <c r="T6" i="12"/>
  <c r="O6" i="12"/>
  <c r="I6" i="12"/>
  <c r="B6" i="12"/>
  <c r="U5" i="12"/>
  <c r="V5" i="12"/>
  <c r="W5" i="12"/>
  <c r="P5" i="12"/>
  <c r="Q5" i="12"/>
  <c r="R5" i="12"/>
  <c r="J5" i="12"/>
  <c r="K5" i="12"/>
  <c r="L5" i="12"/>
  <c r="M5" i="12"/>
  <c r="T5" i="12"/>
  <c r="O5" i="12"/>
  <c r="I5" i="12"/>
  <c r="C5" i="12"/>
  <c r="D5" i="12"/>
  <c r="E5" i="12"/>
  <c r="F5" i="12"/>
  <c r="G5" i="12"/>
  <c r="B5" i="12"/>
  <c r="U4" i="12"/>
  <c r="V4" i="12"/>
  <c r="W4" i="12"/>
  <c r="T4" i="12"/>
  <c r="P4" i="12"/>
  <c r="Q4" i="12"/>
  <c r="R4" i="12"/>
  <c r="O4" i="12"/>
  <c r="J4" i="12"/>
  <c r="K4" i="12"/>
  <c r="L4" i="12"/>
  <c r="M4" i="12"/>
  <c r="I4" i="12"/>
  <c r="C4" i="12"/>
  <c r="D4" i="12"/>
  <c r="E4" i="12"/>
  <c r="F4" i="12"/>
  <c r="G4" i="12"/>
  <c r="B4" i="12"/>
  <c r="F23" i="11"/>
  <c r="E23" i="11"/>
  <c r="U22" i="11"/>
  <c r="T22" i="11"/>
  <c r="V22" i="11" s="1"/>
  <c r="P22" i="11"/>
  <c r="Q22" i="11" s="1"/>
  <c r="O22" i="11"/>
  <c r="U21" i="11"/>
  <c r="T21" i="11"/>
  <c r="V21" i="11" s="1"/>
  <c r="P21" i="11"/>
  <c r="O21" i="11"/>
  <c r="Q21" i="11" s="1"/>
  <c r="V20" i="11"/>
  <c r="U20" i="11"/>
  <c r="T20" i="11"/>
  <c r="P20" i="11"/>
  <c r="O20" i="11"/>
  <c r="Q20" i="11" s="1"/>
  <c r="U19" i="11"/>
  <c r="T19" i="11"/>
  <c r="V19" i="11" s="1"/>
  <c r="P19" i="11"/>
  <c r="O19" i="11"/>
  <c r="Q19" i="11" s="1"/>
  <c r="M18" i="11"/>
  <c r="L18" i="11"/>
  <c r="K18" i="11"/>
  <c r="J18" i="11"/>
  <c r="I18" i="11"/>
  <c r="P18" i="11" s="1"/>
  <c r="G18" i="11"/>
  <c r="F18" i="11"/>
  <c r="E18" i="11"/>
  <c r="O18" i="11" s="1"/>
  <c r="D18" i="11"/>
  <c r="C18" i="11"/>
  <c r="B18" i="11"/>
  <c r="T18" i="11" s="1"/>
  <c r="U17" i="11"/>
  <c r="T17" i="11"/>
  <c r="W17" i="11" s="1"/>
  <c r="R17" i="11"/>
  <c r="Q17" i="11"/>
  <c r="P17" i="11"/>
  <c r="O17" i="11"/>
  <c r="U16" i="11"/>
  <c r="T16" i="11"/>
  <c r="W16" i="11" s="1"/>
  <c r="R16" i="11"/>
  <c r="Q16" i="11"/>
  <c r="P16" i="11"/>
  <c r="O16" i="11"/>
  <c r="U15" i="11"/>
  <c r="T15" i="11"/>
  <c r="W15" i="11" s="1"/>
  <c r="R15" i="11"/>
  <c r="Q15" i="11"/>
  <c r="P15" i="11"/>
  <c r="O15" i="11"/>
  <c r="U14" i="11"/>
  <c r="T14" i="11"/>
  <c r="W14" i="11" s="1"/>
  <c r="R14" i="11"/>
  <c r="Q14" i="11"/>
  <c r="P14" i="11"/>
  <c r="O14" i="11"/>
  <c r="M13" i="11"/>
  <c r="L13" i="11"/>
  <c r="K13" i="11"/>
  <c r="J13" i="11"/>
  <c r="I13" i="11"/>
  <c r="P13" i="11" s="1"/>
  <c r="G13" i="11"/>
  <c r="F13" i="11"/>
  <c r="E13" i="11"/>
  <c r="D13" i="11"/>
  <c r="C13" i="11"/>
  <c r="B13" i="11"/>
  <c r="O13" i="11" s="1"/>
  <c r="U12" i="11"/>
  <c r="V12" i="11" s="1"/>
  <c r="T12" i="11"/>
  <c r="W12" i="11" s="1"/>
  <c r="P12" i="11"/>
  <c r="O12" i="11"/>
  <c r="R12" i="11" s="1"/>
  <c r="U11" i="11"/>
  <c r="V11" i="11" s="1"/>
  <c r="T11" i="11"/>
  <c r="W11" i="11" s="1"/>
  <c r="P11" i="11"/>
  <c r="O11" i="11"/>
  <c r="R11" i="11" s="1"/>
  <c r="U10" i="11"/>
  <c r="V10" i="11" s="1"/>
  <c r="T10" i="11"/>
  <c r="W10" i="11" s="1"/>
  <c r="P10" i="11"/>
  <c r="O10" i="11"/>
  <c r="R10" i="11" s="1"/>
  <c r="U9" i="11"/>
  <c r="V9" i="11" s="1"/>
  <c r="T9" i="11"/>
  <c r="W9" i="11" s="1"/>
  <c r="P9" i="11"/>
  <c r="O9" i="11"/>
  <c r="R9" i="11" s="1"/>
  <c r="U8" i="11"/>
  <c r="V8" i="11" s="1"/>
  <c r="T8" i="11"/>
  <c r="W8" i="11" s="1"/>
  <c r="P8" i="11"/>
  <c r="O8" i="11"/>
  <c r="R8" i="11" s="1"/>
  <c r="U7" i="11"/>
  <c r="V7" i="11" s="1"/>
  <c r="T7" i="11"/>
  <c r="W7" i="11" s="1"/>
  <c r="P7" i="11"/>
  <c r="O7" i="11"/>
  <c r="R7" i="11" s="1"/>
  <c r="U6" i="11"/>
  <c r="V6" i="11" s="1"/>
  <c r="T6" i="11"/>
  <c r="W6" i="11" s="1"/>
  <c r="P6" i="11"/>
  <c r="O6" i="11"/>
  <c r="R6" i="11" s="1"/>
  <c r="U5" i="11"/>
  <c r="V5" i="11" s="1"/>
  <c r="T5" i="11"/>
  <c r="W5" i="11" s="1"/>
  <c r="P5" i="11"/>
  <c r="O5" i="11"/>
  <c r="R5" i="11" s="1"/>
  <c r="U4" i="11"/>
  <c r="M4" i="11"/>
  <c r="M23" i="11" s="1"/>
  <c r="L4" i="11"/>
  <c r="L23" i="11" s="1"/>
  <c r="K4" i="11"/>
  <c r="K23" i="11" s="1"/>
  <c r="J4" i="11"/>
  <c r="J23" i="11" s="1"/>
  <c r="I4" i="11"/>
  <c r="P4" i="11" s="1"/>
  <c r="G4" i="11"/>
  <c r="G23" i="11" s="1"/>
  <c r="F4" i="11"/>
  <c r="E4" i="11"/>
  <c r="D4" i="11"/>
  <c r="D23" i="11" s="1"/>
  <c r="C4" i="11"/>
  <c r="C23" i="11" s="1"/>
  <c r="B4" i="11"/>
  <c r="T4" i="11" s="1"/>
  <c r="O9" i="12" l="1"/>
  <c r="T9" i="12"/>
  <c r="K9" i="12"/>
  <c r="L9" i="12"/>
  <c r="V9" i="12"/>
  <c r="J9" i="12"/>
  <c r="U9" i="12"/>
  <c r="F9" i="12"/>
  <c r="B9" i="12"/>
  <c r="Q9" i="12"/>
  <c r="E9" i="12"/>
  <c r="G9" i="12"/>
  <c r="I9" i="12"/>
  <c r="P9" i="12"/>
  <c r="D9" i="12"/>
  <c r="R10" i="14"/>
  <c r="U19" i="14"/>
  <c r="W9" i="14"/>
  <c r="T18" i="14"/>
  <c r="W18" i="14" s="1"/>
  <c r="O18" i="14"/>
  <c r="R18" i="14" s="1"/>
  <c r="W19" i="14"/>
  <c r="V4" i="11"/>
  <c r="W4" i="11"/>
  <c r="Q18" i="11"/>
  <c r="R13" i="11"/>
  <c r="Q13" i="11"/>
  <c r="T13" i="11"/>
  <c r="O4" i="11"/>
  <c r="U13" i="11"/>
  <c r="I23" i="11"/>
  <c r="V14" i="11"/>
  <c r="V15" i="11"/>
  <c r="V16" i="11"/>
  <c r="V17" i="11"/>
  <c r="Q5" i="11"/>
  <c r="Q6" i="11"/>
  <c r="Q7" i="11"/>
  <c r="Q8" i="11"/>
  <c r="Q9" i="11"/>
  <c r="Q10" i="11"/>
  <c r="Q11" i="11"/>
  <c r="Q12" i="11"/>
  <c r="B23" i="11"/>
  <c r="W9" i="12" l="1"/>
  <c r="R9" i="12"/>
  <c r="U23" i="11"/>
  <c r="P23" i="11"/>
  <c r="R4" i="11"/>
  <c r="Q4" i="11"/>
  <c r="T23" i="11"/>
  <c r="O23" i="11"/>
  <c r="W13" i="11"/>
  <c r="V13" i="11"/>
  <c r="R23" i="11" l="1"/>
  <c r="Q23" i="11"/>
  <c r="W23" i="11"/>
  <c r="V23" i="11"/>
  <c r="U29" i="10"/>
  <c r="V29" i="10" s="1"/>
  <c r="T29" i="10"/>
  <c r="P29" i="10"/>
  <c r="O29" i="10"/>
  <c r="Q29" i="10" s="1"/>
  <c r="M28" i="10"/>
  <c r="L28" i="10"/>
  <c r="K28" i="10"/>
  <c r="J28" i="10"/>
  <c r="U28" i="10" s="1"/>
  <c r="I28" i="10"/>
  <c r="P28" i="10" s="1"/>
  <c r="G28" i="10"/>
  <c r="F28" i="10"/>
  <c r="E28" i="10"/>
  <c r="D28" i="10"/>
  <c r="C28" i="10"/>
  <c r="T28" i="10" s="1"/>
  <c r="B28" i="10"/>
  <c r="U27" i="10"/>
  <c r="T27" i="10"/>
  <c r="V27" i="10" s="1"/>
  <c r="P27" i="10"/>
  <c r="O27" i="10"/>
  <c r="Q27" i="10" s="1"/>
  <c r="V26" i="10"/>
  <c r="U26" i="10"/>
  <c r="T26" i="10"/>
  <c r="P26" i="10"/>
  <c r="Q26" i="10" s="1"/>
  <c r="O26" i="10"/>
  <c r="U25" i="10"/>
  <c r="T25" i="10"/>
  <c r="V25" i="10" s="1"/>
  <c r="P25" i="10"/>
  <c r="O25" i="10"/>
  <c r="Q25" i="10" s="1"/>
  <c r="V24" i="10"/>
  <c r="U24" i="10"/>
  <c r="T24" i="10"/>
  <c r="P24" i="10"/>
  <c r="O24" i="10"/>
  <c r="Q24" i="10" s="1"/>
  <c r="U23" i="10"/>
  <c r="T23" i="10"/>
  <c r="V23" i="10" s="1"/>
  <c r="P23" i="10"/>
  <c r="Q23" i="10" s="1"/>
  <c r="O23" i="10"/>
  <c r="P22" i="10"/>
  <c r="M22" i="10"/>
  <c r="L22" i="10"/>
  <c r="K22" i="10"/>
  <c r="J22" i="10"/>
  <c r="I22" i="10"/>
  <c r="U22" i="10" s="1"/>
  <c r="G22" i="10"/>
  <c r="F22" i="10"/>
  <c r="E22" i="10"/>
  <c r="D22" i="10"/>
  <c r="C22" i="10"/>
  <c r="B22" i="10"/>
  <c r="T22" i="10" s="1"/>
  <c r="V22" i="10" s="1"/>
  <c r="U21" i="10"/>
  <c r="T21" i="10"/>
  <c r="W21" i="10" s="1"/>
  <c r="P21" i="10"/>
  <c r="O21" i="10"/>
  <c r="R21" i="10" s="1"/>
  <c r="U20" i="10"/>
  <c r="T20" i="10"/>
  <c r="W20" i="10" s="1"/>
  <c r="P20" i="10"/>
  <c r="O20" i="10"/>
  <c r="R20" i="10" s="1"/>
  <c r="U19" i="10"/>
  <c r="T19" i="10"/>
  <c r="W19" i="10" s="1"/>
  <c r="P19" i="10"/>
  <c r="O19" i="10"/>
  <c r="R19" i="10" s="1"/>
  <c r="U18" i="10"/>
  <c r="T18" i="10"/>
  <c r="W18" i="10" s="1"/>
  <c r="P18" i="10"/>
  <c r="O18" i="10"/>
  <c r="R18" i="10" s="1"/>
  <c r="T17" i="10"/>
  <c r="M17" i="10"/>
  <c r="L17" i="10"/>
  <c r="K17" i="10"/>
  <c r="J17" i="10"/>
  <c r="U17" i="10" s="1"/>
  <c r="I17" i="10"/>
  <c r="P17" i="10" s="1"/>
  <c r="G17" i="10"/>
  <c r="F17" i="10"/>
  <c r="E17" i="10"/>
  <c r="O17" i="10" s="1"/>
  <c r="D17" i="10"/>
  <c r="C17" i="10"/>
  <c r="B17" i="10"/>
  <c r="V16" i="10"/>
  <c r="U16" i="10"/>
  <c r="T16" i="10"/>
  <c r="P16" i="10"/>
  <c r="O16" i="10"/>
  <c r="Q16" i="10" s="1"/>
  <c r="U15" i="10"/>
  <c r="W15" i="10" s="1"/>
  <c r="T15" i="10"/>
  <c r="P15" i="10"/>
  <c r="R15" i="10" s="1"/>
  <c r="O15" i="10"/>
  <c r="Q15" i="10" s="1"/>
  <c r="U14" i="10"/>
  <c r="W14" i="10" s="1"/>
  <c r="T14" i="10"/>
  <c r="P14" i="10"/>
  <c r="R14" i="10" s="1"/>
  <c r="O14" i="10"/>
  <c r="Q14" i="10" s="1"/>
  <c r="U13" i="10"/>
  <c r="W13" i="10" s="1"/>
  <c r="T13" i="10"/>
  <c r="P13" i="10"/>
  <c r="R13" i="10" s="1"/>
  <c r="O13" i="10"/>
  <c r="Q13" i="10" s="1"/>
  <c r="U12" i="10"/>
  <c r="W12" i="10" s="1"/>
  <c r="T12" i="10"/>
  <c r="P12" i="10"/>
  <c r="R12" i="10" s="1"/>
  <c r="O12" i="10"/>
  <c r="Q12" i="10" s="1"/>
  <c r="U11" i="10"/>
  <c r="W11" i="10" s="1"/>
  <c r="T11" i="10"/>
  <c r="P11" i="10"/>
  <c r="R11" i="10" s="1"/>
  <c r="O11" i="10"/>
  <c r="Q11" i="10" s="1"/>
  <c r="U10" i="10"/>
  <c r="W10" i="10" s="1"/>
  <c r="T10" i="10"/>
  <c r="P10" i="10"/>
  <c r="R10" i="10" s="1"/>
  <c r="O10" i="10"/>
  <c r="Q10" i="10" s="1"/>
  <c r="U9" i="10"/>
  <c r="W9" i="10" s="1"/>
  <c r="T9" i="10"/>
  <c r="P9" i="10"/>
  <c r="R9" i="10" s="1"/>
  <c r="O9" i="10"/>
  <c r="Q9" i="10" s="1"/>
  <c r="U8" i="10"/>
  <c r="W8" i="10" s="1"/>
  <c r="T8" i="10"/>
  <c r="P8" i="10"/>
  <c r="R8" i="10" s="1"/>
  <c r="O8" i="10"/>
  <c r="Q8" i="10" s="1"/>
  <c r="U7" i="10"/>
  <c r="W7" i="10" s="1"/>
  <c r="T7" i="10"/>
  <c r="P7" i="10"/>
  <c r="R7" i="10" s="1"/>
  <c r="O7" i="10"/>
  <c r="Q7" i="10" s="1"/>
  <c r="U6" i="10"/>
  <c r="W6" i="10" s="1"/>
  <c r="T6" i="10"/>
  <c r="P6" i="10"/>
  <c r="R6" i="10" s="1"/>
  <c r="O6" i="10"/>
  <c r="Q6" i="10" s="1"/>
  <c r="U5" i="10"/>
  <c r="W5" i="10" s="1"/>
  <c r="T5" i="10"/>
  <c r="P5" i="10"/>
  <c r="R5" i="10" s="1"/>
  <c r="O5" i="10"/>
  <c r="Q5" i="10" s="1"/>
  <c r="P4" i="10"/>
  <c r="M4" i="10"/>
  <c r="M30" i="10" s="1"/>
  <c r="L4" i="10"/>
  <c r="L30" i="10" s="1"/>
  <c r="K4" i="10"/>
  <c r="K30" i="10" s="1"/>
  <c r="J4" i="10"/>
  <c r="J30" i="10" s="1"/>
  <c r="I4" i="10"/>
  <c r="I30" i="10" s="1"/>
  <c r="G4" i="10"/>
  <c r="G30" i="10" s="1"/>
  <c r="F4" i="10"/>
  <c r="F30" i="10" s="1"/>
  <c r="E4" i="10"/>
  <c r="E30" i="10" s="1"/>
  <c r="D4" i="10"/>
  <c r="D30" i="10" s="1"/>
  <c r="C4" i="10"/>
  <c r="C30" i="10" s="1"/>
  <c r="B4" i="10"/>
  <c r="O4" i="10" s="1"/>
  <c r="U34" i="2"/>
  <c r="V34" i="2"/>
  <c r="T34" i="2"/>
  <c r="C34" i="2"/>
  <c r="D34" i="2"/>
  <c r="E34" i="2"/>
  <c r="F34" i="2"/>
  <c r="G34" i="2"/>
  <c r="I34" i="2"/>
  <c r="J34" i="2"/>
  <c r="K34" i="2"/>
  <c r="L34" i="2"/>
  <c r="M34" i="2"/>
  <c r="O34" i="2"/>
  <c r="P34" i="2"/>
  <c r="Q34" i="2"/>
  <c r="B34" i="2"/>
  <c r="U30" i="10" l="1"/>
  <c r="P30" i="10"/>
  <c r="V28" i="10"/>
  <c r="R4" i="10"/>
  <c r="Q4" i="10"/>
  <c r="R17" i="10"/>
  <c r="Q17" i="10"/>
  <c r="W17" i="10"/>
  <c r="U4" i="10"/>
  <c r="Q18" i="10"/>
  <c r="Q19" i="10"/>
  <c r="Q20" i="10"/>
  <c r="Q21" i="10"/>
  <c r="O28" i="10"/>
  <c r="Q28" i="10" s="1"/>
  <c r="T4" i="10"/>
  <c r="O22" i="10"/>
  <c r="Q22" i="10" s="1"/>
  <c r="V5" i="10"/>
  <c r="V6" i="10"/>
  <c r="V7" i="10"/>
  <c r="V8" i="10"/>
  <c r="V9" i="10"/>
  <c r="V10" i="10"/>
  <c r="V11" i="10"/>
  <c r="V12" i="10"/>
  <c r="V13" i="10"/>
  <c r="V14" i="10"/>
  <c r="V15" i="10"/>
  <c r="V17" i="10"/>
  <c r="V18" i="10"/>
  <c r="V19" i="10"/>
  <c r="V20" i="10"/>
  <c r="V21" i="10"/>
  <c r="B30" i="10"/>
  <c r="R34" i="2"/>
  <c r="W34" i="2"/>
  <c r="W4" i="10" l="1"/>
  <c r="V4" i="10"/>
  <c r="T30" i="10"/>
  <c r="O30" i="10"/>
  <c r="R30" i="10" l="1"/>
  <c r="Q30" i="10"/>
  <c r="V30" i="10"/>
  <c r="W30" i="10"/>
</calcChain>
</file>

<file path=xl/sharedStrings.xml><?xml version="1.0" encoding="utf-8"?>
<sst xmlns="http://schemas.openxmlformats.org/spreadsheetml/2006/main" count="684" uniqueCount="157">
  <si>
    <t>File Information</t>
  </si>
  <si>
    <t>File Name</t>
  </si>
  <si>
    <t>Author</t>
  </si>
  <si>
    <t>Tyler Sellner, Jayden Wilson, and Zach Ross (Opinion Dynamics)</t>
  </si>
  <si>
    <t>Purpose</t>
  </si>
  <si>
    <t>Date Created</t>
  </si>
  <si>
    <t>Last Updated</t>
  </si>
  <si>
    <t>Sheet Name</t>
  </si>
  <si>
    <t>Description</t>
  </si>
  <si>
    <t>File Info</t>
  </si>
  <si>
    <t>This tab</t>
  </si>
  <si>
    <t>Program</t>
  </si>
  <si>
    <t>Benefits</t>
  </si>
  <si>
    <t>Costs</t>
  </si>
  <si>
    <t>IL Total Resource Cost (TRC) Test</t>
  </si>
  <si>
    <r>
      <t xml:space="preserve">Utility Cost Test/Program Administrator Cost (PAC) Test, </t>
    </r>
    <r>
      <rPr>
        <i/>
        <sz val="10"/>
        <color theme="0"/>
        <rFont val="Franklin Gothic Medium"/>
        <family val="2"/>
      </rPr>
      <t>Dual Fuel Utility</t>
    </r>
  </si>
  <si>
    <t>Avoided Electric Production</t>
  </si>
  <si>
    <t>Avoided Electric Capacity</t>
  </si>
  <si>
    <t>Avoided Gas Production</t>
  </si>
  <si>
    <t>Avoided Water Costs</t>
  </si>
  <si>
    <t>Avoided O&amp;M Costs</t>
  </si>
  <si>
    <t>Avoided GHG Emissions</t>
  </si>
  <si>
    <t>Non-Incentive Costs (Electric)</t>
  </si>
  <si>
    <t>Non-Incentive Costs (Gas)</t>
  </si>
  <si>
    <t>Incentive Costs (Electric)</t>
  </si>
  <si>
    <t>Incentive Costs (Gas)</t>
  </si>
  <si>
    <t>Incremental Costs (Net)</t>
  </si>
  <si>
    <t>IL TRC Benefits</t>
  </si>
  <si>
    <t>IL TRC Costs</t>
  </si>
  <si>
    <t>IL TRC Test Net Benefits</t>
  </si>
  <si>
    <t>IL TRC Test Ratio</t>
  </si>
  <si>
    <t>PAC Benefits</t>
  </si>
  <si>
    <t>PAC Costs</t>
  </si>
  <si>
    <t>PAC Test Net Benefits</t>
  </si>
  <si>
    <t>PAC Test Ratio</t>
  </si>
  <si>
    <t>(a)</t>
  </si>
  <si>
    <t>(b)</t>
  </si>
  <si>
    <t>(c)</t>
  </si>
  <si>
    <t>(d)</t>
  </si>
  <si>
    <t>(e)</t>
  </si>
  <si>
    <t>(g)</t>
  </si>
  <si>
    <t>(i)</t>
  </si>
  <si>
    <t>(j)</t>
  </si>
  <si>
    <t>(k)</t>
  </si>
  <si>
    <t>(l)</t>
  </si>
  <si>
    <t>Residential Program</t>
  </si>
  <si>
    <t>Retail Products</t>
  </si>
  <si>
    <t>Income Qualified - Retail Products</t>
  </si>
  <si>
    <t>Income Qualified - Single Family</t>
  </si>
  <si>
    <t>Income Qualified - CAA</t>
  </si>
  <si>
    <t>Income Qualified - Multifamily</t>
  </si>
  <si>
    <t>Income Qualified - Smart Savers</t>
  </si>
  <si>
    <t>Public Housing</t>
  </si>
  <si>
    <t>Multifamily</t>
  </si>
  <si>
    <t>Heating &amp; Cooling</t>
  </si>
  <si>
    <t>Appliance Recycling</t>
  </si>
  <si>
    <t>School Kits</t>
  </si>
  <si>
    <t>Income Qualified - Community Kits</t>
  </si>
  <si>
    <t>NPSO</t>
  </si>
  <si>
    <t>N/A</t>
  </si>
  <si>
    <t>Business Program</t>
  </si>
  <si>
    <t>Standard</t>
  </si>
  <si>
    <t>Custom</t>
  </si>
  <si>
    <t>Retro-Commissioning</t>
  </si>
  <si>
    <t>Streetlighting</t>
  </si>
  <si>
    <t>BOC</t>
  </si>
  <si>
    <t>Portfolio Costs</t>
  </si>
  <si>
    <t>BED</t>
  </si>
  <si>
    <t>EM&amp;V</t>
  </si>
  <si>
    <t>Marketing &amp; Education</t>
  </si>
  <si>
    <t>Administrative Expenses</t>
  </si>
  <si>
    <t>Program Implementation</t>
  </si>
  <si>
    <t>(f)</t>
  </si>
  <si>
    <t>Voltage Optimization</t>
  </si>
  <si>
    <t>AIC 2021 Portfolio</t>
  </si>
  <si>
    <t>Home Efficiency</t>
  </si>
  <si>
    <t>Efficient Choice Tool</t>
  </si>
  <si>
    <t>Market Transformation</t>
  </si>
  <si>
    <t>AIC 2021 Portfolio (Income-Qualified Excluded)</t>
  </si>
  <si>
    <t>(h)</t>
  </si>
  <si>
    <t>(m) =(b+c+d+e+f+g)</t>
  </si>
  <si>
    <t>(n) =(h+i+l)</t>
  </si>
  <si>
    <t>(o)=(m-n)</t>
  </si>
  <si>
    <t>(p)=(m/n)</t>
  </si>
  <si>
    <t>(q) =(b+c+d)</t>
  </si>
  <si>
    <t>(r) =(h+i+j+k+l)</t>
  </si>
  <si>
    <t>(s)=(q-r)</t>
  </si>
  <si>
    <t>(t)=(q/r)</t>
  </si>
  <si>
    <t>2018-2021 Ameren Illinois Company (AIC) Portfolio Cost-Effectiveness Results</t>
  </si>
  <si>
    <t>Cost-effectiveness results (including Illinois TRC and PAC/UCT) for the 2018-2021 AIC portfolio (uses Plan 5 avoided costs)</t>
  </si>
  <si>
    <t>(m)</t>
  </si>
  <si>
    <t>(n)</t>
  </si>
  <si>
    <t>(s) =(b+c+d+e+f+g+h+i)</t>
  </si>
  <si>
    <t>(t) =(J+k+n)</t>
  </si>
  <si>
    <t>(u)=(s-t)</t>
  </si>
  <si>
    <t>(v)=(s/t)</t>
  </si>
  <si>
    <t>(w) =(b+c+d+f)</t>
  </si>
  <si>
    <t>(x) =(j+k+l+m)</t>
  </si>
  <si>
    <t>(y)=(w-x)</t>
  </si>
  <si>
    <t>(z)=(w/x)</t>
  </si>
  <si>
    <t>Income Qualified - Appliance Recycling Kits</t>
  </si>
  <si>
    <t>AIC 2020 Portfolio</t>
  </si>
  <si>
    <t>(n) =(b+c+d+e+f+g+h)</t>
  </si>
  <si>
    <t>(O) =(i+j+m)</t>
  </si>
  <si>
    <t>(p)=(n-p)</t>
  </si>
  <si>
    <t>(q)=(n/o)</t>
  </si>
  <si>
    <t>(r) =(b+c+d)</t>
  </si>
  <si>
    <t>(s) =(i+j+k+l)</t>
  </si>
  <si>
    <t>(t)=(r-s)</t>
  </si>
  <si>
    <t>(u)=(r/s)</t>
  </si>
  <si>
    <t>(r) =(h+i+j+k)</t>
  </si>
  <si>
    <t>Behavioral Modification</t>
  </si>
  <si>
    <t>HVAC</t>
  </si>
  <si>
    <t>Direct Distribution</t>
  </si>
  <si>
    <t>Portfolio Benefits</t>
  </si>
  <si>
    <t>AIC 2019 Portfolio</t>
  </si>
  <si>
    <t xml:space="preserve"> </t>
  </si>
  <si>
    <t>Income Qualified</t>
  </si>
  <si>
    <t>AIC 2018 Portfolio</t>
  </si>
  <si>
    <t>Year</t>
  </si>
  <si>
    <t>2018-2021 (no adjustment)</t>
  </si>
  <si>
    <t>2018-2021 (discounted to 2018)</t>
  </si>
  <si>
    <t>2018-2021 (inflated to 2021)</t>
  </si>
  <si>
    <t>2019 discount to 2018</t>
  </si>
  <si>
    <t>2020 discount to 2018</t>
  </si>
  <si>
    <t>2021 discount to 2018</t>
  </si>
  <si>
    <t>2020 inflated to 2021</t>
  </si>
  <si>
    <t>2019 inflated to 2021</t>
  </si>
  <si>
    <t>2018 inflated to 2021</t>
  </si>
  <si>
    <t>2019 --&gt;2018</t>
  </si>
  <si>
    <t>2020 --&gt;2018</t>
  </si>
  <si>
    <t>2021 --&gt; 2018</t>
  </si>
  <si>
    <t>2018 --&gt; 2021</t>
  </si>
  <si>
    <t>2019 --&gt; 2021</t>
  </si>
  <si>
    <t>2020 --&gt; 2021</t>
  </si>
  <si>
    <t>Adjustment</t>
  </si>
  <si>
    <t>Factor</t>
  </si>
  <si>
    <t>Utility Cost Test/Program Administrator Cost (PAC) Test, Dual Fuel Utility</t>
  </si>
  <si>
    <t>Total (2021 $)</t>
  </si>
  <si>
    <t>2018-2021 EE Summary</t>
  </si>
  <si>
    <t>2018-2021 Voltage Opt. Summary</t>
  </si>
  <si>
    <t>SAG Summary - EE Portfolio '21</t>
  </si>
  <si>
    <t>SAG Summary - Voltage Opt. '21</t>
  </si>
  <si>
    <t>SAG Summary - EE Portfolio '20</t>
  </si>
  <si>
    <t>SAG Summary - Voltage Opt. '20</t>
  </si>
  <si>
    <t>SAG Summary - EE Portfolio '19</t>
  </si>
  <si>
    <t>SAG Summary - Voltage Opt. '19</t>
  </si>
  <si>
    <t>SAG Summary - EE Portfolio '18</t>
  </si>
  <si>
    <t>SAG Summary spreadsheet for 2021 AIC EE Portfolio cost-effectiveness results (does not include Voltage Optimization)</t>
  </si>
  <si>
    <t>SAG Summary spreadsheet for 2020 AIC EE Portfolio cost-effectiveness results (does not include Voltage Optimization)</t>
  </si>
  <si>
    <t>SAG Summary spreadsheet for 2019 AIC EE Portfolio cost-effectiveness results (does not include Voltage Optimization)</t>
  </si>
  <si>
    <t>SAG Summary spreadsheet for 2018 AIC EE Portfolio cost-effectiveness results (does not include Voltage Optimization)</t>
  </si>
  <si>
    <t>SAG Summary spreadsheet for 2021 AIC Voltage Optimization Program cost-effectiveness results</t>
  </si>
  <si>
    <t>SAG Summary spreadsheet for 2020 AIC Voltage Optimization Program cost-effectiveness results</t>
  </si>
  <si>
    <t>SAG Summary spreadsheet for 2019 AIC Voltage Optimization Program cost-effectiveness results</t>
  </si>
  <si>
    <t>Summary spreadsheet for 2018-2021 AIC EE Portfolio cost-effectiveness results (does not include Voltage Optimization); includes calculation of total cost and benefits over 2018-2021 plan cycle inflated to 2021 dollars.</t>
  </si>
  <si>
    <t>Summary spreadsheet for 2018-2021 AIC Voltage Optimization Program cost-effectiveness results (does not include Voltage Optimization); includes calculation of total cost and benefits over 2018-2021 plan cycle inflated to 2021 dollars.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</si>
</sst>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  <numFmt numFmtId="167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0"/>
      <name val="Franklin Gothic Medium"/>
      <family val="2"/>
    </font>
    <font>
      <sz val="10"/>
      <color rgb="FF000000"/>
      <name val="Franklin Gothic Book"/>
      <family val="2"/>
    </font>
    <font>
      <b/>
      <sz val="10"/>
      <color rgb="FF000000"/>
      <name val="Franklin Gothic Book"/>
      <family val="2"/>
    </font>
    <font>
      <i/>
      <sz val="10"/>
      <color theme="0"/>
      <name val="Franklin Gothic Medium"/>
      <family val="2"/>
    </font>
    <font>
      <i/>
      <sz val="10"/>
      <name val="Franklin Gothic Medium"/>
      <family val="2"/>
    </font>
    <font>
      <i/>
      <sz val="10"/>
      <color rgb="FF000000"/>
      <name val="Franklin Gothic Book"/>
      <family val="2"/>
    </font>
    <font>
      <b/>
      <i/>
      <sz val="10"/>
      <color rgb="FF000000"/>
      <name val="Franklin Gothic Book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0"/>
      <name val="Franklin Gothic Medium"/>
      <family val="2"/>
    </font>
    <font>
      <sz val="10"/>
      <color theme="1"/>
      <name val="Franklin Gothic Book"/>
      <family val="2"/>
    </font>
    <font>
      <sz val="10"/>
      <color rgb="FFFFFFFF"/>
      <name val="Franklin Gothic Medium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5357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4D4D4F"/>
      </left>
      <right/>
      <top style="thin">
        <color rgb="FF4D4D4F"/>
      </top>
      <bottom/>
      <diagonal/>
    </border>
    <border>
      <left/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/>
      <top style="thin">
        <color rgb="FF4D4D4F"/>
      </top>
      <bottom style="thin">
        <color rgb="FF4D4D4F"/>
      </bottom>
      <diagonal/>
    </border>
    <border>
      <left/>
      <right/>
      <top style="thin">
        <color rgb="FF4D4D4F"/>
      </top>
      <bottom style="thin">
        <color rgb="FF4D4D4F"/>
      </bottom>
      <diagonal/>
    </border>
    <border>
      <left/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/>
      <diagonal/>
    </border>
    <border>
      <left style="thin">
        <color rgb="FF4D4D4F"/>
      </left>
      <right/>
      <top/>
      <bottom style="thin">
        <color rgb="FF4D4D4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D4D4F"/>
      </left>
      <right style="thin">
        <color rgb="FF4D4D4F"/>
      </right>
      <top style="medium">
        <color rgb="FF4D4D4F"/>
      </top>
      <bottom style="thin">
        <color rgb="FF4D4D4F"/>
      </bottom>
      <diagonal/>
    </border>
    <border>
      <left style="thin">
        <color rgb="FF4D4D4F"/>
      </left>
      <right/>
      <top/>
      <bottom/>
      <diagonal/>
    </border>
    <border>
      <left/>
      <right style="thin">
        <color rgb="FF4D4D4F"/>
      </right>
      <top style="medium">
        <color rgb="FF4D4D4F"/>
      </top>
      <bottom style="thin">
        <color rgb="FF4D4D4F"/>
      </bottom>
      <diagonal/>
    </border>
    <border>
      <left/>
      <right style="thin">
        <color rgb="FF4D4D4F"/>
      </right>
      <top/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medium">
        <color indexed="64"/>
      </bottom>
      <diagonal/>
    </border>
    <border>
      <left/>
      <right style="thin">
        <color rgb="FF4D4D4F"/>
      </right>
      <top/>
      <bottom/>
      <diagonal/>
    </border>
    <border>
      <left style="thin">
        <color rgb="FF4D4D4F"/>
      </left>
      <right/>
      <top style="medium">
        <color rgb="FF4D4D4F"/>
      </top>
      <bottom style="thin">
        <color rgb="FF4D4D4F"/>
      </bottom>
      <diagonal/>
    </border>
    <border>
      <left style="thin">
        <color indexed="64"/>
      </left>
      <right style="thin">
        <color rgb="FF4D4D4F"/>
      </right>
      <top style="thin">
        <color indexed="64"/>
      </top>
      <bottom/>
      <diagonal/>
    </border>
    <border>
      <left style="thin">
        <color rgb="FF4D4D4F"/>
      </left>
      <right/>
      <top style="thin">
        <color indexed="64"/>
      </top>
      <bottom style="thin">
        <color rgb="FF4D4D4F"/>
      </bottom>
      <diagonal/>
    </border>
    <border>
      <left/>
      <right/>
      <top style="thin">
        <color indexed="64"/>
      </top>
      <bottom style="thin">
        <color rgb="FF4D4D4F"/>
      </bottom>
      <diagonal/>
    </border>
    <border>
      <left/>
      <right style="thin">
        <color rgb="FF4D4D4F"/>
      </right>
      <top style="thin">
        <color indexed="64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4D4D4F"/>
      </bottom>
      <diagonal/>
    </border>
    <border>
      <left style="thin">
        <color indexed="64"/>
      </left>
      <right style="thin">
        <color rgb="FF4D4D4F"/>
      </right>
      <top/>
      <bottom style="thin">
        <color rgb="FF4D4D4F"/>
      </bottom>
      <diagonal/>
    </border>
    <border>
      <left style="thin">
        <color rgb="FF4D4D4F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 style="thin">
        <color indexed="64"/>
      </right>
      <top style="thin">
        <color rgb="FF4D4D4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116">
    <xf numFmtId="0" fontId="0" fillId="0" borderId="0" xfId="0"/>
    <xf numFmtId="0" fontId="0" fillId="2" borderId="0" xfId="0" applyFill="1"/>
    <xf numFmtId="0" fontId="2" fillId="2" borderId="0" xfId="2" applyFill="1"/>
    <xf numFmtId="0" fontId="4" fillId="2" borderId="3" xfId="3" applyFont="1" applyFill="1" applyBorder="1"/>
    <xf numFmtId="14" fontId="4" fillId="2" borderId="3" xfId="3" applyNumberFormat="1" applyFont="1" applyFill="1" applyBorder="1" applyAlignment="1">
      <alignment horizontal="left"/>
    </xf>
    <xf numFmtId="0" fontId="3" fillId="3" borderId="4" xfId="3" applyFont="1" applyFill="1" applyBorder="1" applyAlignment="1">
      <alignment horizontal="left" wrapText="1"/>
    </xf>
    <xf numFmtId="0" fontId="4" fillId="2" borderId="4" xfId="3" applyFont="1" applyFill="1" applyBorder="1"/>
    <xf numFmtId="0" fontId="4" fillId="2" borderId="3" xfId="2" applyFont="1" applyFill="1" applyBorder="1"/>
    <xf numFmtId="0" fontId="5" fillId="5" borderId="4" xfId="0" applyFont="1" applyFill="1" applyBorder="1"/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5" borderId="9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4" fillId="0" borderId="3" xfId="0" applyFont="1" applyBorder="1"/>
    <xf numFmtId="164" fontId="4" fillId="0" borderId="3" xfId="1" applyNumberFormat="1" applyFont="1" applyBorder="1"/>
    <xf numFmtId="2" fontId="4" fillId="0" borderId="3" xfId="0" applyNumberFormat="1" applyFont="1" applyBorder="1"/>
    <xf numFmtId="164" fontId="4" fillId="0" borderId="8" xfId="1" applyNumberFormat="1" applyFont="1" applyBorder="1"/>
    <xf numFmtId="2" fontId="4" fillId="0" borderId="8" xfId="0" applyNumberFormat="1" applyFont="1" applyBorder="1"/>
    <xf numFmtId="0" fontId="8" fillId="0" borderId="3" xfId="0" applyFont="1" applyBorder="1" applyAlignment="1">
      <alignment horizontal="left" indent="1"/>
    </xf>
    <xf numFmtId="164" fontId="8" fillId="0" borderId="3" xfId="1" applyNumberFormat="1" applyFont="1" applyBorder="1"/>
    <xf numFmtId="0" fontId="9" fillId="5" borderId="9" xfId="0" applyFont="1" applyFill="1" applyBorder="1"/>
    <xf numFmtId="2" fontId="8" fillId="0" borderId="3" xfId="0" applyNumberFormat="1" applyFont="1" applyBorder="1"/>
    <xf numFmtId="164" fontId="8" fillId="0" borderId="8" xfId="1" applyNumberFormat="1" applyFont="1" applyBorder="1"/>
    <xf numFmtId="2" fontId="8" fillId="0" borderId="8" xfId="0" applyNumberFormat="1" applyFont="1" applyBorder="1"/>
    <xf numFmtId="0" fontId="8" fillId="0" borderId="4" xfId="0" applyFont="1" applyBorder="1" applyAlignment="1">
      <alignment horizontal="left" indent="1"/>
    </xf>
    <xf numFmtId="164" fontId="8" fillId="0" borderId="4" xfId="1" applyNumberFormat="1" applyFont="1" applyBorder="1"/>
    <xf numFmtId="2" fontId="8" fillId="0" borderId="4" xfId="0" applyNumberFormat="1" applyFont="1" applyBorder="1"/>
    <xf numFmtId="164" fontId="8" fillId="0" borderId="10" xfId="1" applyNumberFormat="1" applyFont="1" applyBorder="1"/>
    <xf numFmtId="2" fontId="8" fillId="0" borderId="11" xfId="0" applyNumberFormat="1" applyFont="1" applyBorder="1"/>
    <xf numFmtId="2" fontId="8" fillId="0" borderId="9" xfId="0" applyNumberFormat="1" applyFont="1" applyBorder="1"/>
    <xf numFmtId="2" fontId="8" fillId="0" borderId="3" xfId="0" applyNumberFormat="1" applyFont="1" applyBorder="1" applyAlignment="1">
      <alignment horizontal="right"/>
    </xf>
    <xf numFmtId="164" fontId="8" fillId="0" borderId="9" xfId="1" applyNumberFormat="1" applyFont="1" applyBorder="1"/>
    <xf numFmtId="2" fontId="8" fillId="0" borderId="8" xfId="0" applyNumberFormat="1" applyFont="1" applyBorder="1" applyAlignment="1">
      <alignment horizontal="right"/>
    </xf>
    <xf numFmtId="0" fontId="4" fillId="0" borderId="12" xfId="0" applyFont="1" applyBorder="1"/>
    <xf numFmtId="164" fontId="4" fillId="0" borderId="12" xfId="1" applyNumberFormat="1" applyFont="1" applyBorder="1"/>
    <xf numFmtId="2" fontId="4" fillId="0" borderId="12" xfId="0" applyNumberFormat="1" applyFont="1" applyBorder="1"/>
    <xf numFmtId="164" fontId="8" fillId="0" borderId="13" xfId="1" applyNumberFormat="1" applyFont="1" applyBorder="1"/>
    <xf numFmtId="164" fontId="8" fillId="0" borderId="4" xfId="1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right"/>
    </xf>
    <xf numFmtId="0" fontId="5" fillId="0" borderId="12" xfId="0" applyFont="1" applyBorder="1"/>
    <xf numFmtId="0" fontId="5" fillId="5" borderId="8" xfId="0" applyFont="1" applyFill="1" applyBorder="1"/>
    <xf numFmtId="2" fontId="5" fillId="0" borderId="12" xfId="0" applyNumberFormat="1" applyFont="1" applyBorder="1"/>
    <xf numFmtId="0" fontId="7" fillId="6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5" borderId="0" xfId="0" applyFont="1" applyFill="1" applyBorder="1"/>
    <xf numFmtId="164" fontId="8" fillId="0" borderId="1" xfId="1" applyNumberFormat="1" applyFont="1" applyBorder="1"/>
    <xf numFmtId="2" fontId="8" fillId="0" borderId="15" xfId="0" applyNumberFormat="1" applyFont="1" applyBorder="1"/>
    <xf numFmtId="164" fontId="8" fillId="0" borderId="11" xfId="1" applyNumberFormat="1" applyFont="1" applyBorder="1"/>
    <xf numFmtId="2" fontId="8" fillId="0" borderId="16" xfId="0" applyNumberFormat="1" applyFont="1" applyBorder="1"/>
    <xf numFmtId="165" fontId="5" fillId="0" borderId="12" xfId="1" applyNumberFormat="1" applyFont="1" applyBorder="1"/>
    <xf numFmtId="165" fontId="5" fillId="0" borderId="14" xfId="1" applyNumberFormat="1" applyFont="1" applyBorder="1"/>
    <xf numFmtId="164" fontId="5" fillId="0" borderId="12" xfId="1" applyNumberFormat="1" applyFont="1" applyBorder="1"/>
    <xf numFmtId="164" fontId="5" fillId="0" borderId="14" xfId="1" applyNumberFormat="1" applyFont="1" applyBorder="1"/>
    <xf numFmtId="0" fontId="5" fillId="5" borderId="0" xfId="0" applyFont="1" applyFill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164" fontId="8" fillId="0" borderId="17" xfId="1" applyNumberFormat="1" applyFont="1" applyBorder="1"/>
    <xf numFmtId="164" fontId="5" fillId="0" borderId="12" xfId="1" applyNumberFormat="1" applyFont="1" applyFill="1" applyBorder="1"/>
    <xf numFmtId="164" fontId="5" fillId="0" borderId="14" xfId="1" applyNumberFormat="1" applyFont="1" applyFill="1" applyBorder="1"/>
    <xf numFmtId="0" fontId="13" fillId="0" borderId="0" xfId="0" applyFont="1"/>
    <xf numFmtId="164" fontId="8" fillId="0" borderId="3" xfId="1" applyNumberFormat="1" applyFont="1" applyBorder="1" applyAlignment="1">
      <alignment horizontal="right" wrapText="1"/>
    </xf>
    <xf numFmtId="164" fontId="8" fillId="0" borderId="4" xfId="1" applyNumberFormat="1" applyFont="1" applyBorder="1" applyAlignment="1">
      <alignment horizontal="right" wrapText="1"/>
    </xf>
    <xf numFmtId="164" fontId="5" fillId="0" borderId="18" xfId="1" applyNumberFormat="1" applyFont="1" applyBorder="1"/>
    <xf numFmtId="0" fontId="5" fillId="5" borderId="11" xfId="0" applyFont="1" applyFill="1" applyBorder="1"/>
    <xf numFmtId="0" fontId="3" fillId="4" borderId="11" xfId="0" applyFont="1" applyFill="1" applyBorder="1" applyAlignment="1">
      <alignment horizontal="center" vertical="center" wrapText="1"/>
    </xf>
    <xf numFmtId="0" fontId="0" fillId="0" borderId="11" xfId="0" applyBorder="1"/>
    <xf numFmtId="166" fontId="0" fillId="0" borderId="11" xfId="0" applyNumberFormat="1" applyBorder="1"/>
    <xf numFmtId="2" fontId="0" fillId="0" borderId="11" xfId="0" applyNumberFormat="1" applyBorder="1"/>
    <xf numFmtId="0" fontId="10" fillId="0" borderId="11" xfId="0" applyFont="1" applyBorder="1" applyAlignment="1">
      <alignment horizontal="left"/>
    </xf>
    <xf numFmtId="0" fontId="0" fillId="0" borderId="0" xfId="0" applyFill="1"/>
    <xf numFmtId="0" fontId="5" fillId="5" borderId="23" xfId="0" applyFont="1" applyFill="1" applyBorder="1"/>
    <xf numFmtId="0" fontId="3" fillId="4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5" fillId="5" borderId="29" xfId="0" applyFont="1" applyFill="1" applyBorder="1"/>
    <xf numFmtId="0" fontId="5" fillId="5" borderId="30" xfId="0" applyFont="1" applyFill="1" applyBorder="1"/>
    <xf numFmtId="0" fontId="5" fillId="5" borderId="31" xfId="0" applyFont="1" applyFill="1" applyBorder="1"/>
    <xf numFmtId="167" fontId="0" fillId="0" borderId="11" xfId="0" applyNumberFormat="1" applyBorder="1"/>
    <xf numFmtId="167" fontId="0" fillId="7" borderId="11" xfId="0" applyNumberFormat="1" applyFill="1" applyBorder="1"/>
    <xf numFmtId="167" fontId="0" fillId="0" borderId="0" xfId="0" applyNumberFormat="1"/>
    <xf numFmtId="0" fontId="15" fillId="6" borderId="4" xfId="0" applyFont="1" applyFill="1" applyBorder="1" applyAlignment="1">
      <alignment horizontal="center" vertical="center"/>
    </xf>
    <xf numFmtId="0" fontId="5" fillId="5" borderId="3" xfId="0" applyFont="1" applyFill="1" applyBorder="1"/>
    <xf numFmtId="165" fontId="5" fillId="5" borderId="0" xfId="0" applyNumberFormat="1" applyFont="1" applyFill="1" applyBorder="1"/>
    <xf numFmtId="0" fontId="5" fillId="5" borderId="0" xfId="0" applyFont="1" applyFill="1" applyBorder="1" applyAlignment="1">
      <alignment horizontal="right"/>
    </xf>
    <xf numFmtId="0" fontId="4" fillId="2" borderId="4" xfId="2" applyFont="1" applyFill="1" applyBorder="1"/>
    <xf numFmtId="0" fontId="4" fillId="2" borderId="11" xfId="2" applyFont="1" applyFill="1" applyBorder="1"/>
    <xf numFmtId="0" fontId="16" fillId="0" borderId="0" xfId="0" applyFont="1"/>
    <xf numFmtId="0" fontId="16" fillId="0" borderId="0" xfId="0" applyFont="1" applyFill="1"/>
    <xf numFmtId="167" fontId="16" fillId="0" borderId="0" xfId="0" applyNumberFormat="1" applyFont="1"/>
    <xf numFmtId="0" fontId="5" fillId="0" borderId="3" xfId="0" applyFont="1" applyBorder="1" applyAlignment="1">
      <alignment horizontal="left"/>
    </xf>
    <xf numFmtId="166" fontId="4" fillId="0" borderId="3" xfId="0" applyNumberFormat="1" applyFont="1" applyBorder="1" applyAlignment="1">
      <alignment horizontal="right"/>
    </xf>
    <xf numFmtId="165" fontId="4" fillId="0" borderId="3" xfId="0" applyNumberFormat="1" applyFont="1" applyBorder="1"/>
    <xf numFmtId="0" fontId="5" fillId="0" borderId="3" xfId="0" applyFont="1" applyFill="1" applyBorder="1" applyAlignment="1">
      <alignment horizontal="left"/>
    </xf>
    <xf numFmtId="165" fontId="4" fillId="0" borderId="3" xfId="0" applyNumberFormat="1" applyFont="1" applyFill="1" applyBorder="1"/>
    <xf numFmtId="167" fontId="4" fillId="0" borderId="3" xfId="0" applyNumberFormat="1" applyFont="1" applyFill="1" applyBorder="1"/>
    <xf numFmtId="0" fontId="17" fillId="4" borderId="3" xfId="0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right"/>
    </xf>
    <xf numFmtId="2" fontId="4" fillId="0" borderId="3" xfId="0" applyNumberFormat="1" applyFont="1" applyFill="1" applyBorder="1"/>
    <xf numFmtId="0" fontId="3" fillId="3" borderId="1" xfId="3" applyFont="1" applyFill="1" applyBorder="1" applyAlignment="1">
      <alignment horizontal="left" wrapText="1"/>
    </xf>
    <xf numFmtId="0" fontId="3" fillId="3" borderId="2" xfId="3" applyFont="1" applyFill="1" applyBorder="1" applyAlignment="1">
      <alignment horizontal="left" wrapText="1"/>
    </xf>
    <xf numFmtId="0" fontId="3" fillId="4" borderId="19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10" xfId="3" xr:uid="{E6D28CF2-E249-4514-9233-E31AF1B1511F}"/>
    <cellStyle name="Normal 4" xfId="2" xr:uid="{10BE2562-3515-45CD-9387-92B5E785A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85724</xdr:colOff>
      <xdr:row>0</xdr:row>
      <xdr:rowOff>142874</xdr:rowOff>
    </xdr:from>
    <xdr:ext cx="2946382" cy="914400"/>
    <xdr:pic>
      <xdr:nvPicPr>
        <xdr:cNvPr id="2" name="Picture 1" descr="http://odc-web:85/Marketing/Branding/Logo%20cropped_web.jpg">
          <a:extLst>
            <a:ext uri="{FF2B5EF4-FFF2-40B4-BE49-F238E27FC236}">
              <a16:creationId xmlns:a16="http://schemas.microsoft.com/office/drawing/2014/main" id="{829D3697-5177-4AD8-A379-DB8317D18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142874"/>
          <a:ext cx="2946382" cy="9144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pinion Dynamics">
  <a:themeElements>
    <a:clrScheme name="Primary Corporate Colors">
      <a:dk1>
        <a:srgbClr val="54575A"/>
      </a:dk1>
      <a:lt1>
        <a:srgbClr val="FFFFFF"/>
      </a:lt1>
      <a:dk2>
        <a:srgbClr val="002856"/>
      </a:dk2>
      <a:lt2>
        <a:srgbClr val="FFFFFF"/>
      </a:lt2>
      <a:accent1>
        <a:srgbClr val="002856"/>
      </a:accent1>
      <a:accent2>
        <a:srgbClr val="00A0DF"/>
      </a:accent2>
      <a:accent3>
        <a:srgbClr val="54575A"/>
      </a:accent3>
      <a:accent4>
        <a:srgbClr val="003DA6"/>
      </a:accent4>
      <a:accent5>
        <a:srgbClr val="5EB3E4"/>
      </a:accent5>
      <a:accent6>
        <a:srgbClr val="6F7271"/>
      </a:accent6>
      <a:hlink>
        <a:srgbClr val="0069B6"/>
      </a:hlink>
      <a:folHlink>
        <a:srgbClr val="64B3E8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8A77-64FF-4019-8CA3-EEF2F91BFAFE}">
  <sheetPr>
    <tabColor theme="3"/>
  </sheetPr>
  <dimension ref="A1:B24"/>
  <sheetViews>
    <sheetView workbookViewId="0">
      <selection activeCell="B27" sqref="A27:B28"/>
    </sheetView>
  </sheetViews>
  <sheetFormatPr defaultColWidth="9.1796875" defaultRowHeight="14.5" x14ac:dyDescent="0.35"/>
  <cols>
    <col min="1" max="1" width="28.81640625" style="1" bestFit="1" customWidth="1"/>
    <col min="2" max="2" width="194" style="1" bestFit="1" customWidth="1"/>
    <col min="3" max="16384" width="9.1796875" style="1"/>
  </cols>
  <sheetData>
    <row r="1" spans="1:2" x14ac:dyDescent="0.35">
      <c r="A1" s="2"/>
      <c r="B1" s="2"/>
    </row>
    <row r="2" spans="1:2" x14ac:dyDescent="0.35">
      <c r="A2" s="2"/>
      <c r="B2"/>
    </row>
    <row r="3" spans="1:2" x14ac:dyDescent="0.35">
      <c r="A3" s="2"/>
      <c r="B3" s="2"/>
    </row>
    <row r="4" spans="1:2" x14ac:dyDescent="0.35">
      <c r="A4" s="2"/>
      <c r="B4" s="2"/>
    </row>
    <row r="5" spans="1:2" x14ac:dyDescent="0.35">
      <c r="A5" s="2"/>
      <c r="B5" s="2"/>
    </row>
    <row r="6" spans="1:2" x14ac:dyDescent="0.35">
      <c r="A6" s="2"/>
      <c r="B6" s="2"/>
    </row>
    <row r="7" spans="1:2" x14ac:dyDescent="0.35">
      <c r="A7" s="103" t="s">
        <v>0</v>
      </c>
      <c r="B7" s="104"/>
    </row>
    <row r="8" spans="1:2" x14ac:dyDescent="0.35">
      <c r="A8" s="3" t="s">
        <v>1</v>
      </c>
      <c r="B8" s="3" t="s">
        <v>88</v>
      </c>
    </row>
    <row r="9" spans="1:2" x14ac:dyDescent="0.35">
      <c r="A9" s="3" t="s">
        <v>2</v>
      </c>
      <c r="B9" s="3" t="s">
        <v>3</v>
      </c>
    </row>
    <row r="10" spans="1:2" x14ac:dyDescent="0.35">
      <c r="A10" s="3" t="s">
        <v>4</v>
      </c>
      <c r="B10" s="3" t="s">
        <v>89</v>
      </c>
    </row>
    <row r="11" spans="1:2" x14ac:dyDescent="0.35">
      <c r="A11" s="3" t="s">
        <v>5</v>
      </c>
      <c r="B11" s="4">
        <v>44762</v>
      </c>
    </row>
    <row r="12" spans="1:2" x14ac:dyDescent="0.35">
      <c r="A12" s="3" t="s">
        <v>6</v>
      </c>
      <c r="B12" s="4">
        <v>44819</v>
      </c>
    </row>
    <row r="13" spans="1:2" x14ac:dyDescent="0.35">
      <c r="A13" s="2"/>
      <c r="B13" s="2"/>
    </row>
    <row r="14" spans="1:2" x14ac:dyDescent="0.35">
      <c r="A14" s="5" t="s">
        <v>7</v>
      </c>
      <c r="B14" s="5" t="s">
        <v>8</v>
      </c>
    </row>
    <row r="15" spans="1:2" x14ac:dyDescent="0.35">
      <c r="A15" s="6" t="s">
        <v>9</v>
      </c>
      <c r="B15" s="6" t="s">
        <v>10</v>
      </c>
    </row>
    <row r="16" spans="1:2" x14ac:dyDescent="0.35">
      <c r="A16" s="7" t="s">
        <v>139</v>
      </c>
      <c r="B16" s="7" t="s">
        <v>155</v>
      </c>
    </row>
    <row r="17" spans="1:2" x14ac:dyDescent="0.35">
      <c r="A17" s="89" t="s">
        <v>140</v>
      </c>
      <c r="B17" s="7" t="s">
        <v>156</v>
      </c>
    </row>
    <row r="18" spans="1:2" x14ac:dyDescent="0.35">
      <c r="A18" s="90" t="s">
        <v>141</v>
      </c>
      <c r="B18" s="7" t="s">
        <v>148</v>
      </c>
    </row>
    <row r="19" spans="1:2" x14ac:dyDescent="0.35">
      <c r="A19" s="90" t="s">
        <v>142</v>
      </c>
      <c r="B19" s="7" t="s">
        <v>152</v>
      </c>
    </row>
    <row r="20" spans="1:2" x14ac:dyDescent="0.35">
      <c r="A20" s="90" t="s">
        <v>143</v>
      </c>
      <c r="B20" s="7" t="s">
        <v>149</v>
      </c>
    </row>
    <row r="21" spans="1:2" x14ac:dyDescent="0.35">
      <c r="A21" s="90" t="s">
        <v>144</v>
      </c>
      <c r="B21" s="7" t="s">
        <v>153</v>
      </c>
    </row>
    <row r="22" spans="1:2" x14ac:dyDescent="0.35">
      <c r="A22" s="90" t="s">
        <v>145</v>
      </c>
      <c r="B22" s="7" t="s">
        <v>150</v>
      </c>
    </row>
    <row r="23" spans="1:2" x14ac:dyDescent="0.35">
      <c r="A23" s="90" t="s">
        <v>146</v>
      </c>
      <c r="B23" s="7" t="s">
        <v>154</v>
      </c>
    </row>
    <row r="24" spans="1:2" x14ac:dyDescent="0.35">
      <c r="A24" s="90" t="s">
        <v>147</v>
      </c>
      <c r="B24" s="7" t="s">
        <v>151</v>
      </c>
    </row>
  </sheetData>
  <mergeCells count="1">
    <mergeCell ref="A7:B7"/>
  </mergeCells>
  <phoneticPr fontId="14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DE639-9AF5-403E-A781-7500FF9DBA8B}">
  <dimension ref="A1:W31"/>
  <sheetViews>
    <sheetView zoomScale="90" zoomScaleNormal="90" workbookViewId="0">
      <selection activeCell="O39" sqref="O39"/>
    </sheetView>
  </sheetViews>
  <sheetFormatPr defaultRowHeight="14.5" x14ac:dyDescent="0.35"/>
  <cols>
    <col min="1" max="1" width="37.453125" bestFit="1" customWidth="1"/>
    <col min="2" max="3" width="16.81640625" bestFit="1" customWidth="1"/>
    <col min="4" max="4" width="15.54296875" bestFit="1" customWidth="1"/>
    <col min="5" max="5" width="14.26953125" bestFit="1" customWidth="1"/>
    <col min="6" max="7" width="15.54296875" bestFit="1" customWidth="1"/>
    <col min="8" max="8" width="1.7265625" customWidth="1"/>
    <col min="9" max="9" width="15.54296875" bestFit="1" customWidth="1"/>
    <col min="10" max="10" width="14.26953125" bestFit="1" customWidth="1"/>
    <col min="11" max="11" width="15.54296875" bestFit="1" customWidth="1"/>
    <col min="12" max="12" width="14.26953125" bestFit="1" customWidth="1"/>
    <col min="13" max="13" width="15.54296875" bestFit="1" customWidth="1"/>
    <col min="14" max="14" width="1.7265625" customWidth="1"/>
    <col min="15" max="15" width="21.453125" bestFit="1" customWidth="1"/>
    <col min="16" max="17" width="16.81640625" bestFit="1" customWidth="1"/>
    <col min="18" max="18" width="8.81640625" bestFit="1" customWidth="1"/>
    <col min="19" max="19" width="1.7265625" customWidth="1"/>
    <col min="20" max="21" width="16.81640625" bestFit="1" customWidth="1"/>
    <col min="22" max="22" width="18.54296875" bestFit="1" customWidth="1"/>
    <col min="23" max="23" width="12.7265625" bestFit="1" customWidth="1"/>
  </cols>
  <sheetData>
    <row r="1" spans="1:23" x14ac:dyDescent="0.35">
      <c r="A1" s="111" t="s">
        <v>11</v>
      </c>
      <c r="B1" s="113" t="s">
        <v>12</v>
      </c>
      <c r="C1" s="114"/>
      <c r="D1" s="114"/>
      <c r="E1" s="114"/>
      <c r="F1" s="114"/>
      <c r="G1" s="115"/>
      <c r="H1" s="8"/>
      <c r="I1" s="113" t="s">
        <v>13</v>
      </c>
      <c r="J1" s="114"/>
      <c r="K1" s="114"/>
      <c r="L1" s="114"/>
      <c r="M1" s="115"/>
      <c r="N1" s="8"/>
      <c r="O1" s="113" t="s">
        <v>14</v>
      </c>
      <c r="P1" s="114"/>
      <c r="Q1" s="114"/>
      <c r="R1" s="115"/>
      <c r="S1" s="8"/>
      <c r="T1" s="113" t="s">
        <v>15</v>
      </c>
      <c r="U1" s="114"/>
      <c r="V1" s="114"/>
      <c r="W1" s="115"/>
    </row>
    <row r="2" spans="1:23" ht="27" x14ac:dyDescent="0.35">
      <c r="A2" s="112"/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1"/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1"/>
      <c r="O2" s="10" t="s">
        <v>27</v>
      </c>
      <c r="P2" s="10" t="s">
        <v>28</v>
      </c>
      <c r="Q2" s="10" t="s">
        <v>29</v>
      </c>
      <c r="R2" s="10" t="s">
        <v>30</v>
      </c>
      <c r="S2" s="11"/>
      <c r="T2" s="13" t="s">
        <v>31</v>
      </c>
      <c r="U2" s="13" t="s">
        <v>32</v>
      </c>
      <c r="V2" s="13" t="s">
        <v>33</v>
      </c>
      <c r="W2" s="13" t="s">
        <v>34</v>
      </c>
    </row>
    <row r="3" spans="1:23" x14ac:dyDescent="0.35">
      <c r="A3" s="14" t="s">
        <v>35</v>
      </c>
      <c r="B3" s="14" t="s">
        <v>36</v>
      </c>
      <c r="C3" s="14" t="s">
        <v>37</v>
      </c>
      <c r="D3" s="14" t="s">
        <v>38</v>
      </c>
      <c r="E3" s="14" t="s">
        <v>39</v>
      </c>
      <c r="F3" s="14" t="s">
        <v>40</v>
      </c>
      <c r="G3" s="14" t="s">
        <v>41</v>
      </c>
      <c r="H3" s="11"/>
      <c r="I3" s="14" t="s">
        <v>42</v>
      </c>
      <c r="J3" s="14" t="s">
        <v>43</v>
      </c>
      <c r="K3" s="14" t="s">
        <v>44</v>
      </c>
      <c r="L3" s="14" t="s">
        <v>90</v>
      </c>
      <c r="M3" s="14" t="s">
        <v>91</v>
      </c>
      <c r="N3" s="11"/>
      <c r="O3" s="14" t="s">
        <v>92</v>
      </c>
      <c r="P3" s="14" t="s">
        <v>93</v>
      </c>
      <c r="Q3" s="14" t="s">
        <v>94</v>
      </c>
      <c r="R3" s="14" t="s">
        <v>95</v>
      </c>
      <c r="S3" s="11"/>
      <c r="T3" s="14" t="s">
        <v>96</v>
      </c>
      <c r="U3" s="14" t="s">
        <v>97</v>
      </c>
      <c r="V3" s="14" t="s">
        <v>98</v>
      </c>
      <c r="W3" s="14" t="s">
        <v>99</v>
      </c>
    </row>
    <row r="4" spans="1:23" x14ac:dyDescent="0.35">
      <c r="A4" s="15" t="s">
        <v>45</v>
      </c>
      <c r="B4" s="16">
        <v>49285390.739156954</v>
      </c>
      <c r="C4" s="16">
        <v>32108187.638594307</v>
      </c>
      <c r="D4" s="16">
        <v>14927112.295634983</v>
      </c>
      <c r="E4" s="16">
        <v>7298073.0558846463</v>
      </c>
      <c r="F4" s="16">
        <v>16127943.958873872</v>
      </c>
      <c r="G4" s="16">
        <v>19560882.97172023</v>
      </c>
      <c r="H4" s="11"/>
      <c r="I4" s="16">
        <v>14380559.362675998</v>
      </c>
      <c r="J4" s="16">
        <v>2181125.0175879998</v>
      </c>
      <c r="K4" s="16">
        <v>17567986.633000005</v>
      </c>
      <c r="L4" s="16">
        <v>6467943.9500000011</v>
      </c>
      <c r="M4" s="16">
        <v>20019350.513068601</v>
      </c>
      <c r="N4" s="11"/>
      <c r="O4" s="16">
        <v>139307590.65986499</v>
      </c>
      <c r="P4" s="16">
        <v>36581034.893332601</v>
      </c>
      <c r="Q4" s="16">
        <v>102726555.76653239</v>
      </c>
      <c r="R4" s="17">
        <v>3.8081916235031317</v>
      </c>
      <c r="S4" s="11"/>
      <c r="T4" s="16">
        <v>96320690.673386246</v>
      </c>
      <c r="U4" s="16">
        <v>40597614.963264003</v>
      </c>
      <c r="V4" s="18">
        <v>55723075.710122243</v>
      </c>
      <c r="W4" s="19">
        <v>2.3725701807986743</v>
      </c>
    </row>
    <row r="5" spans="1:23" x14ac:dyDescent="0.35">
      <c r="A5" s="20" t="s">
        <v>46</v>
      </c>
      <c r="B5" s="21">
        <v>20330186.091338195</v>
      </c>
      <c r="C5" s="21">
        <v>12104709.497207288</v>
      </c>
      <c r="D5" s="21">
        <v>7011650.5849072812</v>
      </c>
      <c r="E5" s="21">
        <v>564235.92706991965</v>
      </c>
      <c r="F5" s="21">
        <v>7791024.8501869999</v>
      </c>
      <c r="G5" s="21">
        <v>7965002.1087161005</v>
      </c>
      <c r="H5" s="22"/>
      <c r="I5" s="21">
        <v>2099569.5490669003</v>
      </c>
      <c r="J5" s="21">
        <v>468164.83343970001</v>
      </c>
      <c r="K5" s="21">
        <v>4833223.3800000008</v>
      </c>
      <c r="L5" s="21">
        <v>1668109.62</v>
      </c>
      <c r="M5" s="21">
        <v>4552013.8712443095</v>
      </c>
      <c r="N5" s="22"/>
      <c r="O5" s="16">
        <v>55766809.059425786</v>
      </c>
      <c r="P5" s="21">
        <v>7119748.2537509091</v>
      </c>
      <c r="Q5" s="21">
        <v>48647060.805674881</v>
      </c>
      <c r="R5" s="23">
        <v>7.8326939481386946</v>
      </c>
      <c r="S5" s="22"/>
      <c r="T5" s="16">
        <v>39446546.173452765</v>
      </c>
      <c r="U5" s="21">
        <v>9069067.3825066015</v>
      </c>
      <c r="V5" s="24">
        <v>30377478.790946163</v>
      </c>
      <c r="W5" s="25">
        <v>4.3495703041683793</v>
      </c>
    </row>
    <row r="6" spans="1:23" x14ac:dyDescent="0.35">
      <c r="A6" s="20" t="s">
        <v>47</v>
      </c>
      <c r="B6" s="21">
        <v>10629988.236677283</v>
      </c>
      <c r="C6" s="21">
        <v>4038575.1970884674</v>
      </c>
      <c r="D6" s="21">
        <v>-1722127.4453964103</v>
      </c>
      <c r="E6" s="21">
        <v>0</v>
      </c>
      <c r="F6" s="21">
        <v>5003841.0832773894</v>
      </c>
      <c r="G6" s="21">
        <v>4008379.5263378574</v>
      </c>
      <c r="H6" s="22"/>
      <c r="I6" s="21">
        <v>782343</v>
      </c>
      <c r="J6" s="21">
        <v>0</v>
      </c>
      <c r="K6" s="21">
        <v>337873</v>
      </c>
      <c r="L6" s="21">
        <v>0</v>
      </c>
      <c r="M6" s="21">
        <v>1366040.3878554455</v>
      </c>
      <c r="N6" s="22"/>
      <c r="O6" s="16">
        <v>21958656.597984586</v>
      </c>
      <c r="P6" s="21">
        <v>2148383.3878554455</v>
      </c>
      <c r="Q6" s="21">
        <v>19810273.210129142</v>
      </c>
      <c r="R6" s="23">
        <v>10.221013959665788</v>
      </c>
      <c r="S6" s="22"/>
      <c r="T6" s="16">
        <v>12946435.98836934</v>
      </c>
      <c r="U6" s="21">
        <v>1120216</v>
      </c>
      <c r="V6" s="24">
        <v>11826219.98836934</v>
      </c>
      <c r="W6" s="25">
        <v>11.557088979597989</v>
      </c>
    </row>
    <row r="7" spans="1:23" x14ac:dyDescent="0.35">
      <c r="A7" s="26" t="s">
        <v>48</v>
      </c>
      <c r="B7" s="21">
        <v>4963827.662175999</v>
      </c>
      <c r="C7" s="21">
        <v>3363011.8698573257</v>
      </c>
      <c r="D7" s="21">
        <v>5367023.4756103605</v>
      </c>
      <c r="E7" s="21">
        <v>4393391.8752318295</v>
      </c>
      <c r="F7" s="21">
        <v>1613656.29</v>
      </c>
      <c r="G7" s="21">
        <v>2090070.8533643731</v>
      </c>
      <c r="H7" s="22"/>
      <c r="I7" s="21">
        <v>3313805.5295211202</v>
      </c>
      <c r="J7" s="21">
        <v>601379.77476583992</v>
      </c>
      <c r="K7" s="21">
        <v>5384408.3600000003</v>
      </c>
      <c r="L7" s="21">
        <v>3825635.49</v>
      </c>
      <c r="M7" s="21">
        <v>7078251.3812718131</v>
      </c>
      <c r="N7" s="22"/>
      <c r="O7" s="16">
        <v>21790982.026239887</v>
      </c>
      <c r="P7" s="27">
        <v>10993436.685558774</v>
      </c>
      <c r="Q7" s="27">
        <v>10797545.340681113</v>
      </c>
      <c r="R7" s="28">
        <v>1.982181063985661</v>
      </c>
      <c r="S7" s="22"/>
      <c r="T7" s="16">
        <v>13693863.007643685</v>
      </c>
      <c r="U7" s="27">
        <v>13125229.15428696</v>
      </c>
      <c r="V7" s="29">
        <v>568633.8533567246</v>
      </c>
      <c r="W7" s="30">
        <v>1.0433237276600993</v>
      </c>
    </row>
    <row r="8" spans="1:23" x14ac:dyDescent="0.35">
      <c r="A8" s="26" t="s">
        <v>49</v>
      </c>
      <c r="B8" s="21">
        <v>381501.61044376937</v>
      </c>
      <c r="C8" s="21">
        <v>458461.06946578244</v>
      </c>
      <c r="D8" s="21">
        <v>484476.52319863322</v>
      </c>
      <c r="E8" s="21">
        <v>56598.077098363778</v>
      </c>
      <c r="F8" s="21">
        <v>62817.2</v>
      </c>
      <c r="G8" s="21">
        <v>185196.27612836854</v>
      </c>
      <c r="H8" s="22"/>
      <c r="I8" s="21">
        <v>1168114.9087316841</v>
      </c>
      <c r="J8" s="21">
        <v>222488.45926232002</v>
      </c>
      <c r="K8" s="21">
        <v>841332.62300000025</v>
      </c>
      <c r="L8" s="21">
        <v>435725.65</v>
      </c>
      <c r="M8" s="21">
        <v>1501712.24</v>
      </c>
      <c r="N8" s="22"/>
      <c r="O8" s="16">
        <v>1629050.7563349172</v>
      </c>
      <c r="P8" s="27">
        <v>2892315.6079940042</v>
      </c>
      <c r="Q8" s="27">
        <v>-1263264.851659087</v>
      </c>
      <c r="R8" s="28">
        <v>0.56323409237651023</v>
      </c>
      <c r="S8" s="22"/>
      <c r="T8" s="16">
        <v>1324439.203108185</v>
      </c>
      <c r="U8" s="27">
        <v>2667661.6409940044</v>
      </c>
      <c r="V8" s="29">
        <v>-1343222.4378858195</v>
      </c>
      <c r="W8" s="30">
        <v>0.49647945704788937</v>
      </c>
    </row>
    <row r="9" spans="1:23" x14ac:dyDescent="0.35">
      <c r="A9" s="26" t="s">
        <v>50</v>
      </c>
      <c r="B9" s="21">
        <v>639624.02449636324</v>
      </c>
      <c r="C9" s="21">
        <v>300076.07379800483</v>
      </c>
      <c r="D9" s="21">
        <v>27168.08660929872</v>
      </c>
      <c r="E9" s="21">
        <v>14789.368273389908</v>
      </c>
      <c r="F9" s="21">
        <v>46401.391099999993</v>
      </c>
      <c r="G9" s="21">
        <v>274411.32409592619</v>
      </c>
      <c r="H9" s="22"/>
      <c r="I9" s="21">
        <v>614136.74901407992</v>
      </c>
      <c r="J9" s="21">
        <v>100547.68100704</v>
      </c>
      <c r="K9" s="21">
        <v>609430.94000000018</v>
      </c>
      <c r="L9" s="21">
        <v>7655.32</v>
      </c>
      <c r="M9" s="21">
        <v>518540.22263881547</v>
      </c>
      <c r="N9" s="22"/>
      <c r="O9" s="16">
        <v>1302470.2683729827</v>
      </c>
      <c r="P9" s="27">
        <v>1233224.6526599354</v>
      </c>
      <c r="Q9" s="27">
        <v>69245.615713047329</v>
      </c>
      <c r="R9" s="28">
        <v>1.0561500417330223</v>
      </c>
      <c r="S9" s="22"/>
      <c r="T9" s="16">
        <v>966868.18490366673</v>
      </c>
      <c r="U9" s="27">
        <v>1331770.6900211202</v>
      </c>
      <c r="V9" s="29">
        <v>-364902.50511745352</v>
      </c>
      <c r="W9" s="30">
        <v>0.72600200030557316</v>
      </c>
    </row>
    <row r="10" spans="1:23" x14ac:dyDescent="0.35">
      <c r="A10" s="20" t="s">
        <v>51</v>
      </c>
      <c r="B10" s="21">
        <v>3280138.9277038546</v>
      </c>
      <c r="C10" s="21">
        <v>2372911.3089862866</v>
      </c>
      <c r="D10" s="21">
        <v>2862526.2790726162</v>
      </c>
      <c r="E10" s="21">
        <v>0</v>
      </c>
      <c r="F10" s="21">
        <v>0</v>
      </c>
      <c r="G10" s="21">
        <v>1358024.4764803038</v>
      </c>
      <c r="H10" s="22"/>
      <c r="I10" s="21">
        <v>854699.45581338007</v>
      </c>
      <c r="J10" s="21">
        <v>127506.56068794003</v>
      </c>
      <c r="K10" s="21">
        <v>1344890.75</v>
      </c>
      <c r="L10" s="21">
        <v>251921</v>
      </c>
      <c r="M10" s="21">
        <v>1300250</v>
      </c>
      <c r="N10" s="22"/>
      <c r="O10" s="16">
        <v>9873600.9922430608</v>
      </c>
      <c r="P10" s="21">
        <v>2282456.0165013201</v>
      </c>
      <c r="Q10" s="21">
        <v>7591144.9757417403</v>
      </c>
      <c r="R10" s="23">
        <v>4.3258669261797582</v>
      </c>
      <c r="S10" s="22"/>
      <c r="T10" s="16">
        <v>8515576.5157627575</v>
      </c>
      <c r="U10" s="21">
        <v>2579017.7665013201</v>
      </c>
      <c r="V10" s="24">
        <v>5936558.749261437</v>
      </c>
      <c r="W10" s="25">
        <v>3.3018681090029625</v>
      </c>
    </row>
    <row r="11" spans="1:23" x14ac:dyDescent="0.35">
      <c r="A11" s="20" t="s">
        <v>52</v>
      </c>
      <c r="B11" s="21">
        <v>388368.61997024395</v>
      </c>
      <c r="C11" s="21">
        <v>220782.20169871877</v>
      </c>
      <c r="D11" s="21">
        <v>43848.829104960139</v>
      </c>
      <c r="E11" s="21">
        <v>8892.3070170401752</v>
      </c>
      <c r="F11" s="21">
        <v>64365.272999999986</v>
      </c>
      <c r="G11" s="21">
        <v>172929.1729552965</v>
      </c>
      <c r="H11" s="22"/>
      <c r="I11" s="21">
        <v>790367.85301407985</v>
      </c>
      <c r="J11" s="21">
        <v>129236.15100704</v>
      </c>
      <c r="K11" s="21">
        <v>369366.13999999984</v>
      </c>
      <c r="L11" s="21">
        <v>23134.04</v>
      </c>
      <c r="M11" s="21">
        <v>355760.10123195202</v>
      </c>
      <c r="N11" s="22"/>
      <c r="O11" s="16">
        <v>899186.40374625963</v>
      </c>
      <c r="P11" s="21">
        <v>1275364.1052530718</v>
      </c>
      <c r="Q11" s="21">
        <v>-376177.70150681213</v>
      </c>
      <c r="R11" s="23">
        <v>0.70504289719509805</v>
      </c>
      <c r="S11" s="22"/>
      <c r="T11" s="16">
        <v>652999.65077392291</v>
      </c>
      <c r="U11" s="21">
        <v>1312104.1840211197</v>
      </c>
      <c r="V11" s="24">
        <v>-659104.53324719681</v>
      </c>
      <c r="W11" s="25">
        <v>0.49767362891315359</v>
      </c>
    </row>
    <row r="12" spans="1:23" x14ac:dyDescent="0.35">
      <c r="A12" s="20" t="s">
        <v>53</v>
      </c>
      <c r="B12" s="21">
        <v>172236.20644603542</v>
      </c>
      <c r="C12" s="21">
        <v>79297.619874731026</v>
      </c>
      <c r="D12" s="21">
        <v>20866.483026519836</v>
      </c>
      <c r="E12" s="21">
        <v>669.17151632621369</v>
      </c>
      <c r="F12" s="21">
        <v>27105.539327999999</v>
      </c>
      <c r="G12" s="21">
        <v>69510.785618748938</v>
      </c>
      <c r="H12" s="22"/>
      <c r="I12" s="21">
        <v>797043.05026759999</v>
      </c>
      <c r="J12" s="21">
        <v>157632.44863239958</v>
      </c>
      <c r="K12" s="21">
        <v>199039.58</v>
      </c>
      <c r="L12" s="21">
        <v>6764.1999999999989</v>
      </c>
      <c r="M12" s="21">
        <v>72099.609159999993</v>
      </c>
      <c r="N12" s="22"/>
      <c r="O12" s="16">
        <v>369685.8058103614</v>
      </c>
      <c r="P12" s="21">
        <v>1026775.1080599995</v>
      </c>
      <c r="Q12" s="21">
        <v>-657089.30224963813</v>
      </c>
      <c r="R12" s="23">
        <v>0.36004554737292954</v>
      </c>
      <c r="S12" s="22"/>
      <c r="T12" s="16">
        <v>272400.3093472863</v>
      </c>
      <c r="U12" s="21">
        <v>1160479.2788999996</v>
      </c>
      <c r="V12" s="24">
        <v>-888078.96955271321</v>
      </c>
      <c r="W12" s="25">
        <v>0.23473086878853222</v>
      </c>
    </row>
    <row r="13" spans="1:23" x14ac:dyDescent="0.35">
      <c r="A13" s="20" t="s">
        <v>54</v>
      </c>
      <c r="B13" s="21">
        <v>3207748.4262190717</v>
      </c>
      <c r="C13" s="21">
        <v>6699055.3659286313</v>
      </c>
      <c r="D13" s="21">
        <v>506501.10926588048</v>
      </c>
      <c r="E13" s="21">
        <v>0</v>
      </c>
      <c r="F13" s="21">
        <v>0</v>
      </c>
      <c r="G13" s="21">
        <v>1453315.8824747386</v>
      </c>
      <c r="H13" s="22"/>
      <c r="I13" s="21">
        <v>2172840.7569366</v>
      </c>
      <c r="J13" s="21">
        <v>284976.22852464003</v>
      </c>
      <c r="K13" s="21">
        <v>2521717.67</v>
      </c>
      <c r="L13" s="21">
        <v>98104.38</v>
      </c>
      <c r="M13" s="21">
        <v>1114074.2652218188</v>
      </c>
      <c r="N13" s="22"/>
      <c r="O13" s="16">
        <v>11866620.783888323</v>
      </c>
      <c r="P13" s="21">
        <v>3571891.250683059</v>
      </c>
      <c r="Q13" s="21">
        <v>8294729.5332052642</v>
      </c>
      <c r="R13" s="23">
        <v>3.3222234248086497</v>
      </c>
      <c r="S13" s="22"/>
      <c r="T13" s="16">
        <v>10413304.901413584</v>
      </c>
      <c r="U13" s="21">
        <v>5077639.0354612404</v>
      </c>
      <c r="V13" s="24">
        <v>5335665.8659523437</v>
      </c>
      <c r="W13" s="25">
        <v>2.0508163003886439</v>
      </c>
    </row>
    <row r="14" spans="1:23" x14ac:dyDescent="0.35">
      <c r="A14" s="20" t="s">
        <v>55</v>
      </c>
      <c r="B14" s="21">
        <v>887301.05019911274</v>
      </c>
      <c r="C14" s="21">
        <v>341783.1726024308</v>
      </c>
      <c r="D14" s="21">
        <v>0</v>
      </c>
      <c r="E14" s="21">
        <v>0</v>
      </c>
      <c r="F14" s="21">
        <v>0</v>
      </c>
      <c r="G14" s="21">
        <v>309453.64953760739</v>
      </c>
      <c r="H14" s="22"/>
      <c r="I14" s="21">
        <v>1443757.03301408</v>
      </c>
      <c r="J14" s="21">
        <v>0</v>
      </c>
      <c r="K14" s="21">
        <v>291321.98</v>
      </c>
      <c r="L14" s="21">
        <v>0</v>
      </c>
      <c r="M14" s="21">
        <v>605961.15999999992</v>
      </c>
      <c r="N14" s="22"/>
      <c r="O14" s="16">
        <v>1538537.8723391509</v>
      </c>
      <c r="P14" s="21">
        <v>2049718.1930140799</v>
      </c>
      <c r="Q14" s="21">
        <v>-511180.32067492907</v>
      </c>
      <c r="R14" s="23">
        <v>0.75060946308758369</v>
      </c>
      <c r="S14" s="22"/>
      <c r="T14" s="16">
        <v>1229084.2228015435</v>
      </c>
      <c r="U14" s="21">
        <v>1735079.01301408</v>
      </c>
      <c r="V14" s="24">
        <v>-505994.79021253646</v>
      </c>
      <c r="W14" s="25">
        <v>0.70837363231455885</v>
      </c>
    </row>
    <row r="15" spans="1:23" x14ac:dyDescent="0.35">
      <c r="A15" s="20" t="s">
        <v>56</v>
      </c>
      <c r="B15" s="21">
        <v>929331.04239026248</v>
      </c>
      <c r="C15" s="21">
        <v>432382.36370834231</v>
      </c>
      <c r="D15" s="21">
        <v>360416.75992575818</v>
      </c>
      <c r="E15" s="21">
        <v>1385695.4009742229</v>
      </c>
      <c r="F15" s="21">
        <v>174677.94838148335</v>
      </c>
      <c r="G15" s="21">
        <v>363335.47157346009</v>
      </c>
      <c r="H15" s="22"/>
      <c r="I15" s="21">
        <v>275589.04650704004</v>
      </c>
      <c r="J15" s="21">
        <v>75682.249631160012</v>
      </c>
      <c r="K15" s="21">
        <v>387604.94999999995</v>
      </c>
      <c r="L15" s="21">
        <v>63098.48</v>
      </c>
      <c r="M15" s="21">
        <v>928275.21000000008</v>
      </c>
      <c r="N15" s="22"/>
      <c r="O15" s="16">
        <v>3645838.9869535291</v>
      </c>
      <c r="P15" s="21">
        <v>1279546.5061382002</v>
      </c>
      <c r="Q15" s="21">
        <v>2366292.4808153287</v>
      </c>
      <c r="R15" s="23">
        <v>2.8493212004908184</v>
      </c>
      <c r="S15" s="22"/>
      <c r="T15" s="16">
        <v>1722130.1660243629</v>
      </c>
      <c r="U15" s="21">
        <v>801974.72613819991</v>
      </c>
      <c r="V15" s="24">
        <v>920155.43988616299</v>
      </c>
      <c r="W15" s="25">
        <v>2.1473621423421236</v>
      </c>
    </row>
    <row r="16" spans="1:23" x14ac:dyDescent="0.35">
      <c r="A16" s="20" t="s">
        <v>100</v>
      </c>
      <c r="B16" s="21">
        <v>47035.078329270684</v>
      </c>
      <c r="C16" s="21">
        <v>19923.898286542299</v>
      </c>
      <c r="D16" s="21">
        <v>19561.425021040024</v>
      </c>
      <c r="E16" s="21">
        <v>144404.04602183477</v>
      </c>
      <c r="F16" s="21">
        <v>9535.8760000000002</v>
      </c>
      <c r="G16" s="21">
        <v>17693.649517708909</v>
      </c>
      <c r="H16" s="22"/>
      <c r="I16" s="21">
        <v>6211.6491626759998</v>
      </c>
      <c r="J16" s="21">
        <v>3333.0892540403997</v>
      </c>
      <c r="K16" s="21">
        <v>0</v>
      </c>
      <c r="L16" s="21">
        <v>0</v>
      </c>
      <c r="M16" s="21">
        <v>35369.729999999989</v>
      </c>
      <c r="N16" s="22"/>
      <c r="O16" s="16">
        <v>258153.97317639668</v>
      </c>
      <c r="P16" s="21">
        <v>44914.468416716387</v>
      </c>
      <c r="Q16" s="21">
        <v>213239.50475968031</v>
      </c>
      <c r="R16" s="23">
        <v>5.7476795846996209</v>
      </c>
      <c r="S16" s="22"/>
      <c r="T16" s="16">
        <v>86520.401636852999</v>
      </c>
      <c r="U16" s="21">
        <v>9544.7384167164</v>
      </c>
      <c r="V16" s="24">
        <v>76975.663220136601</v>
      </c>
      <c r="W16" s="31">
        <v>9.0647221389874311</v>
      </c>
    </row>
    <row r="17" spans="1:23" x14ac:dyDescent="0.35">
      <c r="A17" s="20" t="s">
        <v>57</v>
      </c>
      <c r="B17" s="21">
        <v>2674786.1750226701</v>
      </c>
      <c r="C17" s="21">
        <v>1166080.772912344</v>
      </c>
      <c r="D17" s="21">
        <v>-370419.9298643592</v>
      </c>
      <c r="E17" s="21">
        <v>729396.88268171938</v>
      </c>
      <c r="F17" s="21">
        <v>1334518.5076000001</v>
      </c>
      <c r="G17" s="21">
        <v>1005319.2663971038</v>
      </c>
      <c r="H17" s="22"/>
      <c r="I17" s="21">
        <v>62080.781626759992</v>
      </c>
      <c r="J17" s="21">
        <v>10177.541375880002</v>
      </c>
      <c r="K17" s="21">
        <v>447777.25999999989</v>
      </c>
      <c r="L17" s="21">
        <v>87795.76999999999</v>
      </c>
      <c r="M17" s="21">
        <v>591002.33444444416</v>
      </c>
      <c r="N17" s="22"/>
      <c r="O17" s="16">
        <v>6539681.6747494778</v>
      </c>
      <c r="P17" s="21">
        <v>663260.6574470842</v>
      </c>
      <c r="Q17" s="21">
        <v>5876421.0173023939</v>
      </c>
      <c r="R17" s="23">
        <v>9.8598968615460532</v>
      </c>
      <c r="S17" s="22"/>
      <c r="T17" s="16">
        <v>3470447.0180706549</v>
      </c>
      <c r="U17" s="21">
        <v>607831.35300263984</v>
      </c>
      <c r="V17" s="24">
        <v>2862615.665068015</v>
      </c>
      <c r="W17" s="25">
        <v>5.7095557853784857</v>
      </c>
    </row>
    <row r="18" spans="1:23" ht="15" thickBot="1" x14ac:dyDescent="0.4">
      <c r="A18" s="26" t="s">
        <v>58</v>
      </c>
      <c r="B18" s="21">
        <v>753317.58774481784</v>
      </c>
      <c r="C18" s="21">
        <v>511137.22717940935</v>
      </c>
      <c r="D18" s="21">
        <v>315620.11515340791</v>
      </c>
      <c r="E18" s="21">
        <v>0</v>
      </c>
      <c r="F18" s="21">
        <v>0</v>
      </c>
      <c r="G18" s="21">
        <v>288240.52852263773</v>
      </c>
      <c r="H18" s="22"/>
      <c r="I18" s="27">
        <v>0</v>
      </c>
      <c r="J18" s="27">
        <v>0</v>
      </c>
      <c r="K18" s="27">
        <v>0</v>
      </c>
      <c r="L18" s="27">
        <v>0</v>
      </c>
      <c r="M18" s="21">
        <v>0</v>
      </c>
      <c r="N18" s="22"/>
      <c r="O18" s="16">
        <v>1868315.4586002727</v>
      </c>
      <c r="P18" s="27">
        <v>0</v>
      </c>
      <c r="Q18" s="27">
        <v>1868315.4586002727</v>
      </c>
      <c r="R18" s="32" t="s">
        <v>59</v>
      </c>
      <c r="S18" s="22"/>
      <c r="T18" s="16">
        <v>1580074.930077635</v>
      </c>
      <c r="U18" s="27">
        <v>0</v>
      </c>
      <c r="V18" s="33">
        <v>1580074.930077635</v>
      </c>
      <c r="W18" s="34" t="s">
        <v>59</v>
      </c>
    </row>
    <row r="19" spans="1:23" x14ac:dyDescent="0.35">
      <c r="A19" s="35" t="s">
        <v>60</v>
      </c>
      <c r="B19" s="36">
        <v>143327980.91251549</v>
      </c>
      <c r="C19" s="36">
        <v>76135641.568304732</v>
      </c>
      <c r="D19" s="36">
        <v>6147557.7933313502</v>
      </c>
      <c r="E19" s="36">
        <v>368642.34731656557</v>
      </c>
      <c r="F19" s="36">
        <v>64733594.498936906</v>
      </c>
      <c r="G19" s="36">
        <v>63866471.805584706</v>
      </c>
      <c r="H19" s="11"/>
      <c r="I19" s="36">
        <v>13202700.913600005</v>
      </c>
      <c r="J19" s="36">
        <v>1722673.4816000003</v>
      </c>
      <c r="K19" s="36">
        <v>37680114.959999993</v>
      </c>
      <c r="L19" s="36">
        <v>2898332.0999999996</v>
      </c>
      <c r="M19" s="36">
        <v>58606486.189553522</v>
      </c>
      <c r="N19" s="11"/>
      <c r="O19" s="36">
        <v>354579888.92598981</v>
      </c>
      <c r="P19" s="36">
        <v>73531860.584753528</v>
      </c>
      <c r="Q19" s="36">
        <v>281048028.34123629</v>
      </c>
      <c r="R19" s="37">
        <v>4.82212589354104</v>
      </c>
      <c r="S19" s="11"/>
      <c r="T19" s="36">
        <v>225611180.27415159</v>
      </c>
      <c r="U19" s="36">
        <v>55503821.455200002</v>
      </c>
      <c r="V19" s="36">
        <v>170107358.81895161</v>
      </c>
      <c r="W19" s="37">
        <v>4.0647864301785779</v>
      </c>
    </row>
    <row r="20" spans="1:23" x14ac:dyDescent="0.35">
      <c r="A20" s="20" t="s">
        <v>61</v>
      </c>
      <c r="B20" s="21">
        <v>108424182.44234678</v>
      </c>
      <c r="C20" s="21">
        <v>69327432.691661462</v>
      </c>
      <c r="D20" s="21">
        <v>-8233883.9401428578</v>
      </c>
      <c r="E20" s="21">
        <v>360293.73832583969</v>
      </c>
      <c r="F20" s="21">
        <v>62926080.642105855</v>
      </c>
      <c r="G20" s="21">
        <v>48644021.498183757</v>
      </c>
      <c r="H20" s="22"/>
      <c r="I20" s="21">
        <v>8942966.9000000041</v>
      </c>
      <c r="J20" s="21">
        <v>727148.95000000019</v>
      </c>
      <c r="K20" s="21">
        <v>29272267.25</v>
      </c>
      <c r="L20" s="21">
        <v>1282872.43</v>
      </c>
      <c r="M20" s="21">
        <v>36817977.444953464</v>
      </c>
      <c r="N20" s="22"/>
      <c r="O20" s="21">
        <v>281448127.0724808</v>
      </c>
      <c r="P20" s="21">
        <v>46488093.294953465</v>
      </c>
      <c r="Q20" s="21">
        <v>234960033.77752733</v>
      </c>
      <c r="R20" s="23">
        <v>6.0541981209419387</v>
      </c>
      <c r="S20" s="22"/>
      <c r="T20" s="21">
        <v>169517731.19386536</v>
      </c>
      <c r="U20" s="21">
        <v>40225255.530000009</v>
      </c>
      <c r="V20" s="24">
        <v>129292475.66386536</v>
      </c>
      <c r="W20" s="25">
        <v>4.2142114191776603</v>
      </c>
    </row>
    <row r="21" spans="1:23" x14ac:dyDescent="0.35">
      <c r="A21" s="20" t="s">
        <v>62</v>
      </c>
      <c r="B21" s="21">
        <v>15605808.543259017</v>
      </c>
      <c r="C21" s="21">
        <v>6599188.4585534567</v>
      </c>
      <c r="D21" s="21">
        <v>14075380.171241986</v>
      </c>
      <c r="E21" s="21">
        <v>0</v>
      </c>
      <c r="F21" s="21">
        <v>0</v>
      </c>
      <c r="G21" s="21">
        <v>7051658.4439781848</v>
      </c>
      <c r="H21" s="22"/>
      <c r="I21" s="21">
        <v>3465114.9068000005</v>
      </c>
      <c r="J21" s="21">
        <v>795710.8208000001</v>
      </c>
      <c r="K21" s="21">
        <v>6704012.299999997</v>
      </c>
      <c r="L21" s="21">
        <v>1549065.37</v>
      </c>
      <c r="M21" s="21">
        <v>17188585.380982898</v>
      </c>
      <c r="N21" s="22"/>
      <c r="O21" s="21">
        <v>43332035.61703264</v>
      </c>
      <c r="P21" s="21">
        <v>21449411.108582899</v>
      </c>
      <c r="Q21" s="21">
        <v>21882624.508449741</v>
      </c>
      <c r="R21" s="23">
        <v>2.020196983389138</v>
      </c>
      <c r="S21" s="22"/>
      <c r="T21" s="21">
        <v>36280377.173054457</v>
      </c>
      <c r="U21" s="21">
        <v>12513903.397599999</v>
      </c>
      <c r="V21" s="24">
        <v>23766473.775454458</v>
      </c>
      <c r="W21" s="25">
        <v>2.8992054693352158</v>
      </c>
    </row>
    <row r="22" spans="1:23" x14ac:dyDescent="0.35">
      <c r="A22" s="20" t="s">
        <v>63</v>
      </c>
      <c r="B22" s="21">
        <v>1438601.8331769682</v>
      </c>
      <c r="C22" s="21">
        <v>203346.78094640272</v>
      </c>
      <c r="D22" s="21">
        <v>274920.74943628989</v>
      </c>
      <c r="E22" s="21">
        <v>0</v>
      </c>
      <c r="F22" s="21">
        <v>0</v>
      </c>
      <c r="G22" s="21">
        <v>514292.29809001915</v>
      </c>
      <c r="H22" s="22"/>
      <c r="I22" s="21">
        <v>550428.97999999986</v>
      </c>
      <c r="J22" s="21">
        <v>194132.08000000002</v>
      </c>
      <c r="K22" s="21">
        <v>224455.93</v>
      </c>
      <c r="L22" s="21">
        <v>66394.3</v>
      </c>
      <c r="M22" s="21">
        <v>326009.43859999999</v>
      </c>
      <c r="N22" s="22"/>
      <c r="O22" s="21">
        <v>2431161.6616496802</v>
      </c>
      <c r="P22" s="21">
        <v>1070570.4985999998</v>
      </c>
      <c r="Q22" s="21">
        <v>1360591.1630496804</v>
      </c>
      <c r="R22" s="23">
        <v>2.2709029109516323</v>
      </c>
      <c r="S22" s="22"/>
      <c r="T22" s="21">
        <v>1916869.363559661</v>
      </c>
      <c r="U22" s="21">
        <v>1035411.2899999998</v>
      </c>
      <c r="V22" s="24">
        <v>881458.07355966116</v>
      </c>
      <c r="W22" s="25">
        <v>1.851312016850484</v>
      </c>
    </row>
    <row r="23" spans="1:23" x14ac:dyDescent="0.35">
      <c r="A23" s="26" t="s">
        <v>64</v>
      </c>
      <c r="B23" s="21">
        <v>17773439.871591192</v>
      </c>
      <c r="C23" s="21">
        <v>0</v>
      </c>
      <c r="D23" s="21">
        <v>0</v>
      </c>
      <c r="E23" s="21">
        <v>0</v>
      </c>
      <c r="F23" s="21">
        <v>1805439.7218995711</v>
      </c>
      <c r="G23" s="21">
        <v>7624268.3762319898</v>
      </c>
      <c r="H23" s="22"/>
      <c r="I23" s="21">
        <v>209288.57</v>
      </c>
      <c r="J23" s="21">
        <v>0</v>
      </c>
      <c r="K23" s="21">
        <v>1479379.48</v>
      </c>
      <c r="L23" s="21">
        <v>0</v>
      </c>
      <c r="M23" s="21">
        <v>4269300.4250171585</v>
      </c>
      <c r="N23" s="22"/>
      <c r="O23" s="27">
        <v>27203147.969722755</v>
      </c>
      <c r="P23" s="27">
        <v>4478588.9950171588</v>
      </c>
      <c r="Q23" s="27">
        <v>22724558.974705596</v>
      </c>
      <c r="R23" s="28">
        <v>6.0740443027901767</v>
      </c>
      <c r="S23" s="22"/>
      <c r="T23" s="27">
        <v>17773439.871591192</v>
      </c>
      <c r="U23" s="27">
        <v>1688668.05</v>
      </c>
      <c r="V23" s="33">
        <v>16084771.821591191</v>
      </c>
      <c r="W23" s="25">
        <v>10.525123556160841</v>
      </c>
    </row>
    <row r="24" spans="1:23" ht="15" thickBot="1" x14ac:dyDescent="0.4">
      <c r="A24" s="20" t="s">
        <v>65</v>
      </c>
      <c r="B24" s="33">
        <v>85948.222141527309</v>
      </c>
      <c r="C24" s="33">
        <v>5673.6371434042685</v>
      </c>
      <c r="D24" s="33">
        <v>31140.812795932216</v>
      </c>
      <c r="E24" s="33">
        <v>8348.6089907259029</v>
      </c>
      <c r="F24" s="33">
        <v>2074.1349314819454</v>
      </c>
      <c r="G24" s="38">
        <v>32231.189100757576</v>
      </c>
      <c r="H24" s="22"/>
      <c r="I24" s="21">
        <v>34901.556799999984</v>
      </c>
      <c r="J24" s="21">
        <v>5681.6308000000008</v>
      </c>
      <c r="K24" s="21">
        <v>0</v>
      </c>
      <c r="L24" s="21">
        <v>0</v>
      </c>
      <c r="M24" s="38">
        <v>4613.5</v>
      </c>
      <c r="N24" s="22"/>
      <c r="O24" s="39">
        <v>165416.60510382918</v>
      </c>
      <c r="P24" s="27">
        <v>45196.687599999983</v>
      </c>
      <c r="Q24" s="27">
        <v>120219.9175038292</v>
      </c>
      <c r="R24" s="28">
        <v>3.6599276161076291</v>
      </c>
      <c r="S24" s="22"/>
      <c r="T24" s="39">
        <v>122762.67208086379</v>
      </c>
      <c r="U24" s="27">
        <v>40583.187599999983</v>
      </c>
      <c r="V24" s="27">
        <v>82179.484480863815</v>
      </c>
      <c r="W24" s="25">
        <v>3.0249637680225949</v>
      </c>
    </row>
    <row r="25" spans="1:23" x14ac:dyDescent="0.35">
      <c r="A25" s="35" t="s">
        <v>66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11"/>
      <c r="I25" s="36">
        <v>15408967.689999994</v>
      </c>
      <c r="J25" s="36">
        <v>1636805.19</v>
      </c>
      <c r="K25" s="36">
        <v>0</v>
      </c>
      <c r="L25" s="36">
        <v>0</v>
      </c>
      <c r="M25" s="36">
        <v>0</v>
      </c>
      <c r="N25" s="11"/>
      <c r="O25" s="36">
        <v>0</v>
      </c>
      <c r="P25" s="36">
        <v>17045772.879999995</v>
      </c>
      <c r="Q25" s="36">
        <v>-17045772.879999995</v>
      </c>
      <c r="R25" s="40" t="s">
        <v>59</v>
      </c>
      <c r="S25" s="11"/>
      <c r="T25" s="36">
        <v>0</v>
      </c>
      <c r="U25" s="36">
        <v>17045772.879999995</v>
      </c>
      <c r="V25" s="36">
        <v>-17045772.879999995</v>
      </c>
      <c r="W25" s="34" t="s">
        <v>59</v>
      </c>
    </row>
    <row r="26" spans="1:23" x14ac:dyDescent="0.35">
      <c r="A26" s="20" t="s">
        <v>67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2"/>
      <c r="I26" s="21">
        <v>3100843.9499999997</v>
      </c>
      <c r="J26" s="21">
        <v>43541.84</v>
      </c>
      <c r="K26" s="21">
        <v>0</v>
      </c>
      <c r="L26" s="21">
        <v>0</v>
      </c>
      <c r="M26" s="21">
        <v>0</v>
      </c>
      <c r="N26" s="22"/>
      <c r="O26" s="41">
        <v>0</v>
      </c>
      <c r="P26" s="21">
        <v>3144385.7899999996</v>
      </c>
      <c r="Q26" s="21">
        <v>-3144385.7899999996</v>
      </c>
      <c r="R26" s="32" t="s">
        <v>59</v>
      </c>
      <c r="S26" s="22"/>
      <c r="T26" s="41">
        <v>0</v>
      </c>
      <c r="U26" s="21">
        <v>3144385.7899999996</v>
      </c>
      <c r="V26" s="24">
        <v>-3144385.7899999996</v>
      </c>
      <c r="W26" s="32" t="s">
        <v>59</v>
      </c>
    </row>
    <row r="27" spans="1:23" x14ac:dyDescent="0.35">
      <c r="A27" s="20" t="s">
        <v>68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2"/>
      <c r="I27" s="21">
        <v>3437606.8099999996</v>
      </c>
      <c r="J27" s="21">
        <v>509106.70999999996</v>
      </c>
      <c r="K27" s="21">
        <v>0</v>
      </c>
      <c r="L27" s="21">
        <v>0</v>
      </c>
      <c r="M27" s="21">
        <v>0</v>
      </c>
      <c r="N27" s="22"/>
      <c r="O27" s="41">
        <v>0</v>
      </c>
      <c r="P27" s="21">
        <v>3946713.5199999996</v>
      </c>
      <c r="Q27" s="21">
        <v>-3946713.5199999996</v>
      </c>
      <c r="R27" s="32" t="s">
        <v>59</v>
      </c>
      <c r="S27" s="22"/>
      <c r="T27" s="41">
        <v>0</v>
      </c>
      <c r="U27" s="21">
        <v>3946713.5199999996</v>
      </c>
      <c r="V27" s="24">
        <v>-3946713.5199999996</v>
      </c>
      <c r="W27" s="32" t="s">
        <v>59</v>
      </c>
    </row>
    <row r="28" spans="1:23" x14ac:dyDescent="0.35">
      <c r="A28" s="20" t="s">
        <v>69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2"/>
      <c r="I28" s="21">
        <v>3262162.73</v>
      </c>
      <c r="J28" s="21">
        <v>523171.91</v>
      </c>
      <c r="K28" s="21">
        <v>0</v>
      </c>
      <c r="L28" s="21">
        <v>0</v>
      </c>
      <c r="M28" s="21">
        <v>0</v>
      </c>
      <c r="N28" s="22"/>
      <c r="O28" s="41">
        <v>0</v>
      </c>
      <c r="P28" s="21">
        <v>3785334.64</v>
      </c>
      <c r="Q28" s="21">
        <v>-3785334.64</v>
      </c>
      <c r="R28" s="32" t="s">
        <v>59</v>
      </c>
      <c r="S28" s="22"/>
      <c r="T28" s="41">
        <v>0</v>
      </c>
      <c r="U28" s="21">
        <v>3785334.64</v>
      </c>
      <c r="V28" s="24">
        <v>-3785334.64</v>
      </c>
      <c r="W28" s="32" t="s">
        <v>59</v>
      </c>
    </row>
    <row r="29" spans="1:23" x14ac:dyDescent="0.35">
      <c r="A29" s="26" t="s">
        <v>70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2"/>
      <c r="I29" s="27">
        <v>5530594.8399999952</v>
      </c>
      <c r="J29" s="27">
        <v>397911.58000000013</v>
      </c>
      <c r="K29" s="27">
        <v>0</v>
      </c>
      <c r="L29" s="27">
        <v>0</v>
      </c>
      <c r="M29" s="27">
        <v>0</v>
      </c>
      <c r="N29" s="22"/>
      <c r="O29" s="41">
        <v>0</v>
      </c>
      <c r="P29" s="27">
        <v>5928506.4199999953</v>
      </c>
      <c r="Q29" s="27">
        <v>-5928506.4199999953</v>
      </c>
      <c r="R29" s="42" t="s">
        <v>59</v>
      </c>
      <c r="S29" s="22"/>
      <c r="T29" s="41">
        <v>0</v>
      </c>
      <c r="U29" s="27">
        <v>5928506.4199999953</v>
      </c>
      <c r="V29" s="27">
        <v>-5928506.4199999953</v>
      </c>
      <c r="W29" s="42" t="s">
        <v>59</v>
      </c>
    </row>
    <row r="30" spans="1:23" ht="15" thickBot="1" x14ac:dyDescent="0.4">
      <c r="A30" s="20" t="s">
        <v>71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2"/>
      <c r="I30" s="27">
        <v>77759.360000000001</v>
      </c>
      <c r="J30" s="27">
        <v>163073.15</v>
      </c>
      <c r="K30" s="27">
        <v>0</v>
      </c>
      <c r="L30" s="27">
        <v>0</v>
      </c>
      <c r="M30" s="27">
        <v>0</v>
      </c>
      <c r="N30" s="22"/>
      <c r="O30" s="39">
        <v>0</v>
      </c>
      <c r="P30" s="27">
        <v>240832.51</v>
      </c>
      <c r="Q30" s="27">
        <v>-240832.51</v>
      </c>
      <c r="R30" s="42" t="s">
        <v>59</v>
      </c>
      <c r="S30" s="22"/>
      <c r="T30" s="39">
        <v>0</v>
      </c>
      <c r="U30" s="27">
        <v>240832.51</v>
      </c>
      <c r="V30" s="27">
        <v>-240832.51</v>
      </c>
      <c r="W30" s="42" t="s">
        <v>59</v>
      </c>
    </row>
    <row r="31" spans="1:23" x14ac:dyDescent="0.35">
      <c r="A31" s="43" t="s">
        <v>101</v>
      </c>
      <c r="B31" s="55">
        <v>192613371.65167245</v>
      </c>
      <c r="C31" s="55">
        <v>108243829.20689905</v>
      </c>
      <c r="D31" s="55">
        <v>21074670.088966332</v>
      </c>
      <c r="E31" s="55">
        <v>7666715.4032012122</v>
      </c>
      <c r="F31" s="55">
        <v>80861538.457810774</v>
      </c>
      <c r="G31" s="55">
        <v>83427354.777304932</v>
      </c>
      <c r="H31" s="44"/>
      <c r="I31" s="56">
        <v>42992227.966275997</v>
      </c>
      <c r="J31" s="56">
        <v>5540603.6891879998</v>
      </c>
      <c r="K31" s="56">
        <v>55248101.592999995</v>
      </c>
      <c r="L31" s="56">
        <v>9366276.0500000007</v>
      </c>
      <c r="M31" s="56">
        <v>78625836.702622116</v>
      </c>
      <c r="N31" s="44"/>
      <c r="O31" s="55">
        <v>493887479.58585477</v>
      </c>
      <c r="P31" s="55">
        <v>127158668.35808611</v>
      </c>
      <c r="Q31" s="55">
        <v>366728811.22776866</v>
      </c>
      <c r="R31" s="45">
        <v>3.8840252572875276</v>
      </c>
      <c r="S31" s="44"/>
      <c r="T31" s="55">
        <v>321931870.94753784</v>
      </c>
      <c r="U31" s="55">
        <v>113147209.29846399</v>
      </c>
      <c r="V31" s="55">
        <v>208784661.64907384</v>
      </c>
      <c r="W31" s="45">
        <v>2.8452479998718641</v>
      </c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DFE52-D400-4E46-8CDD-557DC234C411}">
  <dimension ref="A1:W4"/>
  <sheetViews>
    <sheetView workbookViewId="0">
      <selection activeCell="D19" sqref="D19"/>
    </sheetView>
  </sheetViews>
  <sheetFormatPr defaultRowHeight="14.5" x14ac:dyDescent="0.35"/>
  <cols>
    <col min="1" max="1" width="17.54296875" bestFit="1" customWidth="1"/>
    <col min="2" max="3" width="14" bestFit="1" customWidth="1"/>
    <col min="4" max="4" width="14.54296875" customWidth="1"/>
    <col min="5" max="6" width="14" customWidth="1"/>
    <col min="7" max="7" width="16" customWidth="1"/>
    <col min="8" max="8" width="1.7265625" customWidth="1"/>
    <col min="9" max="9" width="14" bestFit="1" customWidth="1"/>
    <col min="10" max="12" width="9.26953125" bestFit="1" customWidth="1"/>
    <col min="13" max="13" width="12.7265625" bestFit="1" customWidth="1"/>
    <col min="14" max="14" width="1.7265625" customWidth="1"/>
    <col min="15" max="15" width="20" bestFit="1" customWidth="1"/>
    <col min="16" max="17" width="14" bestFit="1" customWidth="1"/>
    <col min="18" max="18" width="8.81640625" bestFit="1" customWidth="1"/>
    <col min="19" max="19" width="1.7265625" customWidth="1"/>
    <col min="20" max="21" width="14" bestFit="1" customWidth="1"/>
    <col min="22" max="22" width="18.54296875" bestFit="1" customWidth="1"/>
    <col min="23" max="23" width="12.7265625" bestFit="1" customWidth="1"/>
  </cols>
  <sheetData>
    <row r="1" spans="1:23" x14ac:dyDescent="0.35">
      <c r="A1" s="111" t="s">
        <v>11</v>
      </c>
      <c r="B1" s="113" t="s">
        <v>12</v>
      </c>
      <c r="C1" s="114"/>
      <c r="D1" s="114"/>
      <c r="E1" s="114"/>
      <c r="F1" s="114"/>
      <c r="G1" s="114"/>
      <c r="H1" s="8"/>
      <c r="I1" s="113" t="s">
        <v>13</v>
      </c>
      <c r="J1" s="114"/>
      <c r="K1" s="114"/>
      <c r="L1" s="114"/>
      <c r="M1" s="115"/>
      <c r="N1" s="8"/>
      <c r="O1" s="113" t="s">
        <v>14</v>
      </c>
      <c r="P1" s="114"/>
      <c r="Q1" s="114"/>
      <c r="R1" s="115"/>
      <c r="S1" s="8"/>
      <c r="T1" s="113" t="s">
        <v>15</v>
      </c>
      <c r="U1" s="114"/>
      <c r="V1" s="114"/>
      <c r="W1" s="115"/>
    </row>
    <row r="2" spans="1:23" ht="54" x14ac:dyDescent="0.35">
      <c r="A2" s="112"/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1"/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1"/>
      <c r="O2" s="10" t="s">
        <v>27</v>
      </c>
      <c r="P2" s="10" t="s">
        <v>28</v>
      </c>
      <c r="Q2" s="10" t="s">
        <v>29</v>
      </c>
      <c r="R2" s="10" t="s">
        <v>30</v>
      </c>
      <c r="S2" s="11"/>
      <c r="T2" s="13" t="s">
        <v>31</v>
      </c>
      <c r="U2" s="13" t="s">
        <v>32</v>
      </c>
      <c r="V2" s="13" t="s">
        <v>33</v>
      </c>
      <c r="W2" s="13" t="s">
        <v>34</v>
      </c>
    </row>
    <row r="3" spans="1:23" x14ac:dyDescent="0.35">
      <c r="A3" s="46" t="s">
        <v>35</v>
      </c>
      <c r="B3" s="46" t="s">
        <v>36</v>
      </c>
      <c r="C3" s="46" t="s">
        <v>37</v>
      </c>
      <c r="D3" s="46" t="s">
        <v>38</v>
      </c>
      <c r="E3" s="46" t="s">
        <v>39</v>
      </c>
      <c r="F3" s="46" t="s">
        <v>72</v>
      </c>
      <c r="G3" s="46" t="s">
        <v>40</v>
      </c>
      <c r="H3" s="11"/>
      <c r="I3" s="46" t="s">
        <v>42</v>
      </c>
      <c r="J3" s="46" t="s">
        <v>43</v>
      </c>
      <c r="K3" s="46" t="s">
        <v>44</v>
      </c>
      <c r="L3" s="46" t="s">
        <v>90</v>
      </c>
      <c r="M3" s="46" t="s">
        <v>91</v>
      </c>
      <c r="N3" s="11"/>
      <c r="O3" s="46" t="s">
        <v>102</v>
      </c>
      <c r="P3" s="46" t="s">
        <v>103</v>
      </c>
      <c r="Q3" s="46" t="s">
        <v>104</v>
      </c>
      <c r="R3" s="46" t="s">
        <v>105</v>
      </c>
      <c r="S3" s="11"/>
      <c r="T3" s="46" t="s">
        <v>106</v>
      </c>
      <c r="U3" s="46" t="s">
        <v>107</v>
      </c>
      <c r="V3" s="46" t="s">
        <v>108</v>
      </c>
      <c r="W3" s="46" t="s">
        <v>109</v>
      </c>
    </row>
    <row r="4" spans="1:23" x14ac:dyDescent="0.35">
      <c r="A4" s="47" t="s">
        <v>73</v>
      </c>
      <c r="B4" s="21">
        <v>50363657.945821457</v>
      </c>
      <c r="C4" s="21">
        <v>29633354.232052799</v>
      </c>
      <c r="D4" s="21">
        <v>0</v>
      </c>
      <c r="E4" s="21">
        <v>0</v>
      </c>
      <c r="F4" s="21">
        <v>0</v>
      </c>
      <c r="G4" s="21">
        <v>24051723.700133234</v>
      </c>
      <c r="H4" s="57"/>
      <c r="I4" s="21">
        <v>14430649.76</v>
      </c>
      <c r="J4" s="21">
        <v>0</v>
      </c>
      <c r="K4" s="21">
        <v>0</v>
      </c>
      <c r="L4" s="21">
        <v>0</v>
      </c>
      <c r="M4" s="21">
        <v>6546232.7197947558</v>
      </c>
      <c r="N4" s="57"/>
      <c r="O4" s="21">
        <v>104048735.87800749</v>
      </c>
      <c r="P4" s="21">
        <v>20976882.479794756</v>
      </c>
      <c r="Q4" s="21">
        <v>83071853.398212731</v>
      </c>
      <c r="R4" s="17">
        <v>4.9601620249447826</v>
      </c>
      <c r="S4" s="57"/>
      <c r="T4" s="21">
        <v>79997012.177874252</v>
      </c>
      <c r="U4" s="21">
        <v>20976882.479794756</v>
      </c>
      <c r="V4" s="21">
        <v>59020129.698079497</v>
      </c>
      <c r="W4" s="17">
        <v>3.8135796515487255</v>
      </c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B3930-3490-4C3B-A806-CD41323482DF}">
  <sheetPr>
    <tabColor theme="5"/>
  </sheetPr>
  <dimension ref="A1"/>
  <sheetViews>
    <sheetView workbookViewId="0">
      <selection activeCell="M24" sqref="M24"/>
    </sheetView>
  </sheetViews>
  <sheetFormatPr defaultRowHeight="14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55D00-2570-4AFF-9E0C-1B0809281C47}">
  <dimension ref="A1:X37"/>
  <sheetViews>
    <sheetView zoomScale="80" zoomScaleNormal="80" workbookViewId="0">
      <selection activeCell="L13" sqref="L13"/>
    </sheetView>
  </sheetViews>
  <sheetFormatPr defaultRowHeight="14.5" x14ac:dyDescent="0.35"/>
  <cols>
    <col min="1" max="1" width="28.81640625" bestFit="1" customWidth="1"/>
    <col min="2" max="7" width="16.81640625" customWidth="1"/>
    <col min="8" max="8" width="2.1796875" customWidth="1"/>
    <col min="9" max="13" width="16.81640625" customWidth="1"/>
    <col min="14" max="14" width="2.1796875" customWidth="1"/>
    <col min="15" max="15" width="22.81640625" customWidth="1"/>
    <col min="16" max="16" width="16.81640625" customWidth="1"/>
    <col min="17" max="17" width="19.81640625" customWidth="1"/>
    <col min="18" max="18" width="14.1796875" customWidth="1"/>
    <col min="19" max="19" width="2.1796875" customWidth="1"/>
    <col min="20" max="20" width="22.1796875" bestFit="1" customWidth="1"/>
    <col min="21" max="21" width="17.453125" bestFit="1" customWidth="1"/>
    <col min="22" max="22" width="18.453125" bestFit="1" customWidth="1"/>
    <col min="23" max="23" width="12.7265625" bestFit="1" customWidth="1"/>
    <col min="24" max="24" width="2.1796875" customWidth="1"/>
  </cols>
  <sheetData>
    <row r="1" spans="1:24" s="58" customFormat="1" ht="18.5" x14ac:dyDescent="0.45">
      <c r="A1" s="111" t="s">
        <v>11</v>
      </c>
      <c r="B1" s="113" t="s">
        <v>12</v>
      </c>
      <c r="C1" s="114"/>
      <c r="D1" s="114"/>
      <c r="E1" s="114"/>
      <c r="F1" s="114"/>
      <c r="G1" s="115"/>
      <c r="H1" s="8"/>
      <c r="I1" s="113" t="s">
        <v>13</v>
      </c>
      <c r="J1" s="114"/>
      <c r="K1" s="114"/>
      <c r="L1" s="114"/>
      <c r="M1" s="115"/>
      <c r="N1" s="8"/>
      <c r="O1" s="113" t="s">
        <v>14</v>
      </c>
      <c r="P1" s="114"/>
      <c r="Q1" s="114"/>
      <c r="R1" s="115"/>
      <c r="S1" s="8"/>
      <c r="T1" s="113" t="s">
        <v>15</v>
      </c>
      <c r="U1" s="114"/>
      <c r="V1" s="114"/>
      <c r="W1" s="115"/>
      <c r="X1" s="8"/>
    </row>
    <row r="2" spans="1:24" ht="30" customHeight="1" x14ac:dyDescent="0.35">
      <c r="A2" s="112"/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1"/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1"/>
      <c r="O2" s="10" t="s">
        <v>27</v>
      </c>
      <c r="P2" s="10" t="s">
        <v>28</v>
      </c>
      <c r="Q2" s="10" t="s">
        <v>29</v>
      </c>
      <c r="R2" s="10" t="s">
        <v>30</v>
      </c>
      <c r="S2" s="11"/>
      <c r="T2" s="13" t="s">
        <v>31</v>
      </c>
      <c r="U2" s="13" t="s">
        <v>32</v>
      </c>
      <c r="V2" s="13" t="s">
        <v>33</v>
      </c>
      <c r="W2" s="13" t="s">
        <v>34</v>
      </c>
      <c r="X2" s="11"/>
    </row>
    <row r="3" spans="1:24" s="59" customFormat="1" x14ac:dyDescent="0.35">
      <c r="A3" s="14" t="s">
        <v>35</v>
      </c>
      <c r="B3" s="14" t="s">
        <v>36</v>
      </c>
      <c r="C3" s="14" t="s">
        <v>37</v>
      </c>
      <c r="D3" s="14" t="s">
        <v>38</v>
      </c>
      <c r="E3" s="14" t="s">
        <v>39</v>
      </c>
      <c r="F3" s="14" t="s">
        <v>72</v>
      </c>
      <c r="G3" s="14" t="s">
        <v>40</v>
      </c>
      <c r="H3" s="11"/>
      <c r="I3" s="14" t="s">
        <v>79</v>
      </c>
      <c r="J3" s="14" t="s">
        <v>41</v>
      </c>
      <c r="K3" s="14" t="s">
        <v>42</v>
      </c>
      <c r="L3" s="14" t="s">
        <v>43</v>
      </c>
      <c r="M3" s="14" t="s">
        <v>44</v>
      </c>
      <c r="N3" s="11"/>
      <c r="O3" s="14" t="s">
        <v>80</v>
      </c>
      <c r="P3" s="14" t="s">
        <v>81</v>
      </c>
      <c r="Q3" s="14" t="s">
        <v>82</v>
      </c>
      <c r="R3" s="14" t="s">
        <v>83</v>
      </c>
      <c r="S3" s="11"/>
      <c r="T3" s="14" t="s">
        <v>84</v>
      </c>
      <c r="U3" s="14" t="s">
        <v>110</v>
      </c>
      <c r="V3" s="14" t="s">
        <v>86</v>
      </c>
      <c r="W3" s="14" t="s">
        <v>87</v>
      </c>
      <c r="X3" s="11"/>
    </row>
    <row r="4" spans="1:24" x14ac:dyDescent="0.35">
      <c r="A4" s="15" t="s">
        <v>45</v>
      </c>
      <c r="B4" s="16">
        <f t="shared" ref="B4:G4" si="0">SUM(B5:B16)</f>
        <v>34261854.669474214</v>
      </c>
      <c r="C4" s="16">
        <f t="shared" si="0"/>
        <v>22691407.029464897</v>
      </c>
      <c r="D4" s="16">
        <f t="shared" si="0"/>
        <v>12075815.994983288</v>
      </c>
      <c r="E4" s="16">
        <f t="shared" si="0"/>
        <v>5528397.2030802602</v>
      </c>
      <c r="F4" s="16">
        <f t="shared" si="0"/>
        <v>9185625.2429585699</v>
      </c>
      <c r="G4" s="16">
        <f t="shared" si="0"/>
        <v>13170788.253644872</v>
      </c>
      <c r="H4" s="11"/>
      <c r="I4" s="16">
        <f>SUM(I5:I16)</f>
        <v>13225325.98</v>
      </c>
      <c r="J4" s="16">
        <f>SUM(J5:J16)</f>
        <v>2025414.2599999998</v>
      </c>
      <c r="K4" s="16">
        <f>SUM(K5:K16)</f>
        <v>27654696.850000001</v>
      </c>
      <c r="L4" s="16">
        <f>SUM(L5:L16)</f>
        <v>6847949.5500000007</v>
      </c>
      <c r="M4" s="16">
        <f>SUM(M5:M16)</f>
        <v>22082990.713183578</v>
      </c>
      <c r="N4" s="11"/>
      <c r="O4" s="16">
        <f>B4+C4+E4+D4+F4+G4</f>
        <v>96913888.393606111</v>
      </c>
      <c r="P4" s="16">
        <f t="shared" ref="P4:P29" si="1">I4+J4+M4</f>
        <v>37333730.953183576</v>
      </c>
      <c r="Q4" s="16">
        <f t="shared" ref="Q4:Q29" si="2">O4-P4</f>
        <v>59580157.440422535</v>
      </c>
      <c r="R4" s="17">
        <f t="shared" ref="R4:R21" si="3">O4/P4</f>
        <v>2.5958800773256745</v>
      </c>
      <c r="S4" s="11"/>
      <c r="T4" s="16">
        <f>B4+C4+D4</f>
        <v>69029077.6939224</v>
      </c>
      <c r="U4" s="16">
        <f t="shared" ref="U4:U29" si="4">I4+J4+K4+L4</f>
        <v>49753386.640000001</v>
      </c>
      <c r="V4" s="18">
        <f t="shared" ref="V4:V29" si="5">T4-U4</f>
        <v>19275691.0539224</v>
      </c>
      <c r="W4" s="19">
        <f t="shared" ref="W4:W21" si="6">T4/U4</f>
        <v>1.3874247032346823</v>
      </c>
      <c r="X4" s="11"/>
    </row>
    <row r="5" spans="1:24" s="60" customFormat="1" x14ac:dyDescent="0.35">
      <c r="A5" s="20" t="s">
        <v>46</v>
      </c>
      <c r="B5" s="21">
        <v>19969302.909960333</v>
      </c>
      <c r="C5" s="21">
        <v>8617860.7872829642</v>
      </c>
      <c r="D5" s="21">
        <v>1016270.2456294912</v>
      </c>
      <c r="E5" s="21">
        <v>35131.238863562008</v>
      </c>
      <c r="F5" s="21">
        <v>8996824.5594774857</v>
      </c>
      <c r="G5" s="21">
        <v>7199541.4916128023</v>
      </c>
      <c r="H5" s="22"/>
      <c r="I5" s="21">
        <v>2693264.85</v>
      </c>
      <c r="J5" s="21">
        <v>357759.47</v>
      </c>
      <c r="K5" s="21">
        <v>5305069.87</v>
      </c>
      <c r="L5" s="21">
        <v>692796.32</v>
      </c>
      <c r="M5" s="21">
        <v>5049813.4260024494</v>
      </c>
      <c r="N5" s="22"/>
      <c r="O5" s="41">
        <f>B5+C5+E5+D5+F5+G5</f>
        <v>45834931.232826628</v>
      </c>
      <c r="P5" s="21">
        <f t="shared" si="1"/>
        <v>8100837.7460024497</v>
      </c>
      <c r="Q5" s="21">
        <f t="shared" si="2"/>
        <v>37734093.486824177</v>
      </c>
      <c r="R5" s="23">
        <f t="shared" si="3"/>
        <v>5.6580482994422345</v>
      </c>
      <c r="S5" s="22"/>
      <c r="T5" s="21">
        <f t="shared" ref="T5:T29" si="7">B5+C5+D5</f>
        <v>29603433.942872785</v>
      </c>
      <c r="U5" s="21">
        <f t="shared" si="4"/>
        <v>9048890.5099999998</v>
      </c>
      <c r="V5" s="24">
        <f t="shared" si="5"/>
        <v>20554543.432872787</v>
      </c>
      <c r="W5" s="25">
        <f t="shared" si="6"/>
        <v>3.2714987445320283</v>
      </c>
      <c r="X5" s="22"/>
    </row>
    <row r="6" spans="1:24" s="60" customFormat="1" x14ac:dyDescent="0.35">
      <c r="A6" s="20" t="s">
        <v>48</v>
      </c>
      <c r="B6" s="21">
        <v>4348911.7048506793</v>
      </c>
      <c r="C6" s="21">
        <v>5143260.4638482109</v>
      </c>
      <c r="D6" s="21">
        <v>6845624.4738870878</v>
      </c>
      <c r="E6" s="21">
        <v>563711.4316403768</v>
      </c>
      <c r="F6" s="21">
        <v>61949.028749999998</v>
      </c>
      <c r="G6" s="21">
        <v>1950672.3818530182</v>
      </c>
      <c r="H6" s="22"/>
      <c r="I6" s="21">
        <v>4129115.33</v>
      </c>
      <c r="J6" s="21">
        <v>1040620.83</v>
      </c>
      <c r="K6" s="21">
        <v>15452431.1</v>
      </c>
      <c r="L6" s="21">
        <v>4323847.01</v>
      </c>
      <c r="M6" s="21">
        <v>9693714.8144562151</v>
      </c>
      <c r="N6" s="22"/>
      <c r="O6" s="21">
        <f>B6+C6+E6+D6+F6+G6</f>
        <v>18914129.484829374</v>
      </c>
      <c r="P6" s="21">
        <f>I6+J6+M6</f>
        <v>14863450.974456215</v>
      </c>
      <c r="Q6" s="21">
        <f>O6-P6</f>
        <v>4050678.5103731584</v>
      </c>
      <c r="R6" s="23">
        <f>O6/P6</f>
        <v>1.2725261123634415</v>
      </c>
      <c r="S6" s="22"/>
      <c r="T6" s="21">
        <f>B6+C6+D6</f>
        <v>16337796.642585978</v>
      </c>
      <c r="U6" s="21">
        <f>I6+J6+K6+L6</f>
        <v>24946014.269999996</v>
      </c>
      <c r="V6" s="24">
        <f>T6-U6</f>
        <v>-8608217.6274140179</v>
      </c>
      <c r="W6" s="25">
        <f>T6/U6</f>
        <v>0.65492613231740848</v>
      </c>
      <c r="X6" s="22"/>
    </row>
    <row r="7" spans="1:24" s="60" customFormat="1" x14ac:dyDescent="0.35">
      <c r="A7" s="20" t="s">
        <v>49</v>
      </c>
      <c r="B7" s="21">
        <v>411645.87923829729</v>
      </c>
      <c r="C7" s="21">
        <v>497437.93938415201</v>
      </c>
      <c r="D7" s="21">
        <v>985305.39437730669</v>
      </c>
      <c r="E7" s="21">
        <v>136360.89240555238</v>
      </c>
      <c r="F7" s="21">
        <v>11011.998750000001</v>
      </c>
      <c r="G7" s="21">
        <v>200005.39660242732</v>
      </c>
      <c r="H7" s="22"/>
      <c r="I7" s="21">
        <v>1079331.03</v>
      </c>
      <c r="J7" s="21">
        <v>153941.54</v>
      </c>
      <c r="K7" s="21">
        <v>1257311.69</v>
      </c>
      <c r="L7" s="21">
        <v>616742.98</v>
      </c>
      <c r="M7" s="21">
        <v>3516185.0641400008</v>
      </c>
      <c r="N7" s="22"/>
      <c r="O7" s="21">
        <f>B7+C7+E7+D7+F7+G7</f>
        <v>2241767.5007577357</v>
      </c>
      <c r="P7" s="21">
        <f>I7+J7+M7</f>
        <v>4749457.6341400007</v>
      </c>
      <c r="Q7" s="21">
        <f>O7-P7</f>
        <v>-2507690.133382265</v>
      </c>
      <c r="R7" s="23">
        <f>O7/P7</f>
        <v>0.47200494739514814</v>
      </c>
      <c r="S7" s="22"/>
      <c r="T7" s="21">
        <f>B7+C7+D7</f>
        <v>1894389.212999756</v>
      </c>
      <c r="U7" s="21">
        <f>I7+J7+K7+L7</f>
        <v>3107327.2399999998</v>
      </c>
      <c r="V7" s="24">
        <f>T7-U7</f>
        <v>-1212938.0270002438</v>
      </c>
      <c r="W7" s="25">
        <f>T7/U7</f>
        <v>0.60965230459594466</v>
      </c>
      <c r="X7" s="22"/>
    </row>
    <row r="8" spans="1:24" s="60" customFormat="1" x14ac:dyDescent="0.35">
      <c r="A8" s="20" t="s">
        <v>50</v>
      </c>
      <c r="B8" s="21">
        <v>670128.95055987616</v>
      </c>
      <c r="C8" s="21">
        <v>319575.14650138491</v>
      </c>
      <c r="D8" s="21">
        <v>154666.48826775566</v>
      </c>
      <c r="E8" s="21">
        <v>342283.77575148869</v>
      </c>
      <c r="F8" s="21">
        <v>7523.0737499999996</v>
      </c>
      <c r="G8" s="21">
        <v>262769.7396604048</v>
      </c>
      <c r="H8" s="22"/>
      <c r="I8" s="21">
        <v>590768.54</v>
      </c>
      <c r="J8" s="21">
        <v>79309.91</v>
      </c>
      <c r="K8" s="21">
        <v>330101.31</v>
      </c>
      <c r="L8" s="21">
        <v>40509.919999999998</v>
      </c>
      <c r="M8" s="21">
        <v>102016.4771680101</v>
      </c>
      <c r="N8" s="22"/>
      <c r="O8" s="21">
        <f t="shared" ref="O8:O30" si="8">B8+C8+E8+D8+F8+G8</f>
        <v>1756947.1744909103</v>
      </c>
      <c r="P8" s="21">
        <f t="shared" ref="P8" si="9">I8+J8+M8</f>
        <v>772094.92716801015</v>
      </c>
      <c r="Q8" s="21">
        <f t="shared" ref="Q8" si="10">O8-P8</f>
        <v>984852.2473229001</v>
      </c>
      <c r="R8" s="23">
        <f t="shared" ref="R8" si="11">O8/P8</f>
        <v>2.2755585002161185</v>
      </c>
      <c r="S8" s="22"/>
      <c r="T8" s="21">
        <f t="shared" ref="T8" si="12">B8+C8+D8</f>
        <v>1144370.5853290167</v>
      </c>
      <c r="U8" s="21">
        <f t="shared" ref="U8" si="13">I8+J8+K8+L8</f>
        <v>1040689.68</v>
      </c>
      <c r="V8" s="24">
        <f t="shared" ref="V8" si="14">T8-U8</f>
        <v>103680.90532901662</v>
      </c>
      <c r="W8" s="25">
        <f>T8/U8</f>
        <v>1.0996271100997337</v>
      </c>
      <c r="X8" s="22"/>
    </row>
    <row r="9" spans="1:24" s="60" customFormat="1" x14ac:dyDescent="0.35">
      <c r="A9" s="20" t="s">
        <v>51</v>
      </c>
      <c r="B9" s="21">
        <v>1432885.8574816892</v>
      </c>
      <c r="C9" s="21">
        <v>1051145.472297566</v>
      </c>
      <c r="D9" s="21">
        <v>1801369.3734362361</v>
      </c>
      <c r="E9" s="21">
        <v>0</v>
      </c>
      <c r="F9" s="21">
        <v>0</v>
      </c>
      <c r="G9" s="21">
        <v>561607.26165898971</v>
      </c>
      <c r="H9" s="22"/>
      <c r="I9" s="21">
        <v>517105.87</v>
      </c>
      <c r="J9" s="21">
        <v>113577.19</v>
      </c>
      <c r="K9" s="21">
        <v>990831.27</v>
      </c>
      <c r="L9" s="21">
        <v>910929.54</v>
      </c>
      <c r="M9" s="21">
        <v>756000</v>
      </c>
      <c r="N9" s="22"/>
      <c r="O9" s="21">
        <f t="shared" si="8"/>
        <v>4847007.9648744809</v>
      </c>
      <c r="P9" s="21">
        <f>I9+J9+M9</f>
        <v>1386683.06</v>
      </c>
      <c r="Q9" s="21">
        <f t="shared" si="2"/>
        <v>3460324.9048744808</v>
      </c>
      <c r="R9" s="23">
        <f>O9/P9</f>
        <v>3.4953971132195707</v>
      </c>
      <c r="S9" s="22"/>
      <c r="T9" s="21">
        <f t="shared" si="7"/>
        <v>4285400.703215491</v>
      </c>
      <c r="U9" s="21">
        <f t="shared" si="4"/>
        <v>2532443.87</v>
      </c>
      <c r="V9" s="24">
        <f t="shared" si="5"/>
        <v>1752956.8332154909</v>
      </c>
      <c r="W9" s="25">
        <f t="shared" si="6"/>
        <v>1.6921996787298945</v>
      </c>
      <c r="X9" s="22"/>
    </row>
    <row r="10" spans="1:24" s="60" customFormat="1" x14ac:dyDescent="0.35">
      <c r="A10" s="20" t="s">
        <v>52</v>
      </c>
      <c r="B10" s="21">
        <v>355986.67215881107</v>
      </c>
      <c r="C10" s="21">
        <v>211748.39113709124</v>
      </c>
      <c r="D10" s="21">
        <v>189747.53853095361</v>
      </c>
      <c r="E10" s="21">
        <v>946117.7082380082</v>
      </c>
      <c r="F10" s="21">
        <v>17951.358749999999</v>
      </c>
      <c r="G10" s="21">
        <v>142013.39928615346</v>
      </c>
      <c r="H10" s="22"/>
      <c r="I10" s="21">
        <v>771815.95</v>
      </c>
      <c r="J10" s="21">
        <v>85762.35</v>
      </c>
      <c r="K10" s="21">
        <v>179489.85</v>
      </c>
      <c r="L10" s="21">
        <v>47973.38</v>
      </c>
      <c r="M10" s="21">
        <v>246470.68992</v>
      </c>
      <c r="N10" s="22"/>
      <c r="O10" s="21">
        <f t="shared" si="8"/>
        <v>1863565.0681010177</v>
      </c>
      <c r="P10" s="21">
        <f t="shared" si="1"/>
        <v>1104048.9899199998</v>
      </c>
      <c r="Q10" s="21">
        <f t="shared" si="2"/>
        <v>759516.07818101789</v>
      </c>
      <c r="R10" s="23">
        <f t="shared" si="3"/>
        <v>1.6879369349688487</v>
      </c>
      <c r="S10" s="22"/>
      <c r="T10" s="21">
        <f t="shared" si="7"/>
        <v>757482.60182685591</v>
      </c>
      <c r="U10" s="21">
        <f t="shared" si="4"/>
        <v>1085041.5299999998</v>
      </c>
      <c r="V10" s="24">
        <f t="shared" si="5"/>
        <v>-327558.92817314388</v>
      </c>
      <c r="W10" s="25">
        <f t="shared" si="6"/>
        <v>0.69811392548896822</v>
      </c>
      <c r="X10" s="22"/>
    </row>
    <row r="11" spans="1:24" s="60" customFormat="1" x14ac:dyDescent="0.35">
      <c r="A11" s="20" t="s">
        <v>111</v>
      </c>
      <c r="B11" s="21">
        <v>129946.241010122</v>
      </c>
      <c r="C11" s="21">
        <v>61935.053592209377</v>
      </c>
      <c r="D11" s="21">
        <v>0</v>
      </c>
      <c r="E11" s="21">
        <v>0</v>
      </c>
      <c r="F11" s="21">
        <v>0</v>
      </c>
      <c r="G11" s="21">
        <v>44688.683835373151</v>
      </c>
      <c r="H11" s="22"/>
      <c r="I11" s="21">
        <v>768837.8</v>
      </c>
      <c r="J11" s="21">
        <v>43681.64</v>
      </c>
      <c r="K11" s="21">
        <v>0</v>
      </c>
      <c r="L11" s="21">
        <v>0</v>
      </c>
      <c r="M11" s="21">
        <v>0</v>
      </c>
      <c r="N11" s="22"/>
      <c r="O11" s="21">
        <f t="shared" si="8"/>
        <v>236569.97843770453</v>
      </c>
      <c r="P11" s="21">
        <f t="shared" si="1"/>
        <v>812519.44000000006</v>
      </c>
      <c r="Q11" s="21">
        <f t="shared" si="2"/>
        <v>-575949.46156229556</v>
      </c>
      <c r="R11" s="23">
        <f t="shared" si="3"/>
        <v>0.2911560841396047</v>
      </c>
      <c r="S11" s="22"/>
      <c r="T11" s="21">
        <f t="shared" si="7"/>
        <v>191881.29460233139</v>
      </c>
      <c r="U11" s="21">
        <f t="shared" si="4"/>
        <v>812519.44000000006</v>
      </c>
      <c r="V11" s="24">
        <f t="shared" si="5"/>
        <v>-620638.1453976687</v>
      </c>
      <c r="W11" s="25">
        <f t="shared" si="6"/>
        <v>0.23615594305329035</v>
      </c>
      <c r="X11" s="22"/>
    </row>
    <row r="12" spans="1:24" s="60" customFormat="1" x14ac:dyDescent="0.35">
      <c r="A12" s="20" t="s">
        <v>112</v>
      </c>
      <c r="B12" s="21">
        <v>3603085.5550709595</v>
      </c>
      <c r="C12" s="21">
        <v>5303314.2706887675</v>
      </c>
      <c r="D12" s="21">
        <v>438659.78562052175</v>
      </c>
      <c r="E12" s="21">
        <v>0</v>
      </c>
      <c r="F12" s="21">
        <v>0</v>
      </c>
      <c r="G12" s="21">
        <v>1588930.5212225188</v>
      </c>
      <c r="H12" s="22"/>
      <c r="I12" s="21">
        <v>622151.80000000005</v>
      </c>
      <c r="J12" s="21">
        <v>46329.8</v>
      </c>
      <c r="K12" s="21">
        <v>3029046.61</v>
      </c>
      <c r="L12" s="21">
        <v>94922.39</v>
      </c>
      <c r="M12" s="21">
        <v>1742282.2454442938</v>
      </c>
      <c r="N12" s="22"/>
      <c r="O12" s="21">
        <f t="shared" si="8"/>
        <v>10933990.132602768</v>
      </c>
      <c r="P12" s="21">
        <f t="shared" si="1"/>
        <v>2410763.8454442937</v>
      </c>
      <c r="Q12" s="21">
        <f t="shared" si="2"/>
        <v>8523226.2871584743</v>
      </c>
      <c r="R12" s="23">
        <f t="shared" si="3"/>
        <v>4.5354878509834622</v>
      </c>
      <c r="S12" s="22"/>
      <c r="T12" s="21">
        <f t="shared" si="7"/>
        <v>9345059.6113802493</v>
      </c>
      <c r="U12" s="21">
        <f t="shared" si="4"/>
        <v>3792450.6</v>
      </c>
      <c r="V12" s="24">
        <f t="shared" si="5"/>
        <v>5552609.0113802496</v>
      </c>
      <c r="W12" s="25">
        <f t="shared" si="6"/>
        <v>2.4641216450862271</v>
      </c>
      <c r="X12" s="22"/>
    </row>
    <row r="13" spans="1:24" s="60" customFormat="1" x14ac:dyDescent="0.35">
      <c r="A13" s="20" t="s">
        <v>55</v>
      </c>
      <c r="B13" s="21">
        <v>883313.89238769375</v>
      </c>
      <c r="C13" s="21">
        <v>312370.87581244588</v>
      </c>
      <c r="D13" s="21">
        <v>0</v>
      </c>
      <c r="E13" s="21">
        <v>0</v>
      </c>
      <c r="F13" s="21">
        <v>0</v>
      </c>
      <c r="G13" s="21">
        <v>305421.01542132837</v>
      </c>
      <c r="H13" s="22"/>
      <c r="I13" s="21">
        <v>1285657.3500000001</v>
      </c>
      <c r="J13" s="21">
        <v>0</v>
      </c>
      <c r="K13" s="21">
        <v>351905.84</v>
      </c>
      <c r="L13" s="21">
        <v>0</v>
      </c>
      <c r="M13" s="21">
        <v>500146.80000000005</v>
      </c>
      <c r="N13" s="22"/>
      <c r="O13" s="21">
        <f t="shared" si="8"/>
        <v>1501105.7836214679</v>
      </c>
      <c r="P13" s="21">
        <f t="shared" si="1"/>
        <v>1785804.1500000001</v>
      </c>
      <c r="Q13" s="21">
        <f t="shared" si="2"/>
        <v>-284698.36637853226</v>
      </c>
      <c r="R13" s="23">
        <f t="shared" si="3"/>
        <v>0.84057693763421248</v>
      </c>
      <c r="S13" s="22"/>
      <c r="T13" s="21">
        <f t="shared" si="7"/>
        <v>1195684.7682001395</v>
      </c>
      <c r="U13" s="21">
        <f t="shared" si="4"/>
        <v>1637563.1900000002</v>
      </c>
      <c r="V13" s="24">
        <f t="shared" si="5"/>
        <v>-441878.42179986066</v>
      </c>
      <c r="W13" s="25">
        <f t="shared" si="6"/>
        <v>0.73016099500877241</v>
      </c>
      <c r="X13" s="22"/>
    </row>
    <row r="14" spans="1:24" s="60" customFormat="1" x14ac:dyDescent="0.35">
      <c r="A14" s="20" t="s">
        <v>53</v>
      </c>
      <c r="B14" s="21">
        <v>527246.55435592949</v>
      </c>
      <c r="C14" s="21">
        <v>266197.42841885251</v>
      </c>
      <c r="D14" s="21">
        <v>171221.73790917004</v>
      </c>
      <c r="E14" s="21">
        <v>70975.33185548149</v>
      </c>
      <c r="F14" s="21">
        <v>4232.8501027500006</v>
      </c>
      <c r="G14" s="21">
        <v>203967.53955540029</v>
      </c>
      <c r="H14" s="22"/>
      <c r="I14" s="21">
        <v>388419.72</v>
      </c>
      <c r="J14" s="21">
        <v>59399.83</v>
      </c>
      <c r="K14" s="21">
        <v>232175.62</v>
      </c>
      <c r="L14" s="21">
        <v>35611.78</v>
      </c>
      <c r="M14" s="21">
        <v>200490.24064211201</v>
      </c>
      <c r="N14" s="22"/>
      <c r="O14" s="21">
        <f t="shared" si="8"/>
        <v>1243841.4421975838</v>
      </c>
      <c r="P14" s="21">
        <f t="shared" si="1"/>
        <v>648309.79064211203</v>
      </c>
      <c r="Q14" s="21">
        <f t="shared" si="2"/>
        <v>595531.65155547182</v>
      </c>
      <c r="R14" s="23">
        <f t="shared" si="3"/>
        <v>1.918591173774552</v>
      </c>
      <c r="S14" s="22"/>
      <c r="T14" s="21">
        <f t="shared" si="7"/>
        <v>964665.72068395209</v>
      </c>
      <c r="U14" s="21">
        <f t="shared" si="4"/>
        <v>715606.95</v>
      </c>
      <c r="V14" s="24">
        <f t="shared" si="5"/>
        <v>249058.77068395214</v>
      </c>
      <c r="W14" s="25">
        <f t="shared" si="6"/>
        <v>1.3480385016997838</v>
      </c>
      <c r="X14" s="22"/>
    </row>
    <row r="15" spans="1:24" s="60" customFormat="1" x14ac:dyDescent="0.35">
      <c r="A15" s="26" t="s">
        <v>113</v>
      </c>
      <c r="B15" s="27">
        <v>1119102.527872815</v>
      </c>
      <c r="C15" s="27">
        <v>513743.30705683766</v>
      </c>
      <c r="D15" s="27">
        <v>354607.35100441764</v>
      </c>
      <c r="E15" s="27">
        <v>3433816.8243257906</v>
      </c>
      <c r="F15" s="27">
        <v>86132.373378333345</v>
      </c>
      <c r="G15" s="27">
        <v>409834.11077805527</v>
      </c>
      <c r="H15" s="22"/>
      <c r="I15" s="27">
        <v>378857.74</v>
      </c>
      <c r="J15" s="27">
        <v>45031.7</v>
      </c>
      <c r="K15" s="27">
        <v>526333.68999999994</v>
      </c>
      <c r="L15" s="27">
        <v>84616.23</v>
      </c>
      <c r="M15" s="27">
        <v>275870.95541049994</v>
      </c>
      <c r="N15" s="22"/>
      <c r="O15" s="27">
        <f t="shared" si="8"/>
        <v>5917236.4944162499</v>
      </c>
      <c r="P15" s="27">
        <f t="shared" si="1"/>
        <v>699760.3954105</v>
      </c>
      <c r="Q15" s="27">
        <f t="shared" si="2"/>
        <v>5217476.0990057494</v>
      </c>
      <c r="R15" s="28">
        <f t="shared" si="3"/>
        <v>8.4560894460810765</v>
      </c>
      <c r="S15" s="22"/>
      <c r="T15" s="27">
        <f t="shared" si="7"/>
        <v>1987453.1859340705</v>
      </c>
      <c r="U15" s="27">
        <f t="shared" si="4"/>
        <v>1034839.3599999999</v>
      </c>
      <c r="V15" s="24">
        <f t="shared" si="5"/>
        <v>952613.82593407063</v>
      </c>
      <c r="W15" s="31">
        <f t="shared" si="6"/>
        <v>1.9205427071638159</v>
      </c>
      <c r="X15" s="22"/>
    </row>
    <row r="16" spans="1:24" s="60" customFormat="1" ht="15" thickBot="1" x14ac:dyDescent="0.4">
      <c r="A16" s="26" t="s">
        <v>58</v>
      </c>
      <c r="B16" s="27">
        <v>810297.92452700762</v>
      </c>
      <c r="C16" s="27">
        <v>392817.89344441792</v>
      </c>
      <c r="D16" s="27">
        <v>118343.60632034748</v>
      </c>
      <c r="E16" s="27">
        <v>0</v>
      </c>
      <c r="F16" s="27">
        <v>0</v>
      </c>
      <c r="G16" s="27">
        <v>301336.7121584015</v>
      </c>
      <c r="H16" s="22"/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2"/>
      <c r="O16" s="27">
        <f>B16+C16+E16+D16+F16+G16</f>
        <v>1622796.1364501745</v>
      </c>
      <c r="P16" s="27">
        <f t="shared" si="1"/>
        <v>0</v>
      </c>
      <c r="Q16" s="27">
        <f t="shared" si="2"/>
        <v>1622796.1364501745</v>
      </c>
      <c r="R16" s="32" t="s">
        <v>59</v>
      </c>
      <c r="S16" s="22"/>
      <c r="T16" s="27">
        <f t="shared" si="7"/>
        <v>1321459.424291773</v>
      </c>
      <c r="U16" s="27">
        <f t="shared" si="4"/>
        <v>0</v>
      </c>
      <c r="V16" s="33">
        <f t="shared" si="5"/>
        <v>1321459.424291773</v>
      </c>
      <c r="W16" s="32" t="s">
        <v>59</v>
      </c>
      <c r="X16" s="22"/>
    </row>
    <row r="17" spans="1:24" x14ac:dyDescent="0.35">
      <c r="A17" s="35" t="s">
        <v>60</v>
      </c>
      <c r="B17" s="36">
        <f>SUM(B18:B21)</f>
        <v>110983486.46120001</v>
      </c>
      <c r="C17" s="36">
        <f t="shared" ref="C17:G17" si="15">SUM(C18:C21)</f>
        <v>60449724.503998309</v>
      </c>
      <c r="D17" s="36">
        <f t="shared" si="15"/>
        <v>5549933.8967752289</v>
      </c>
      <c r="E17" s="36">
        <f>SUM(E18:E21)</f>
        <v>219771.76243699898</v>
      </c>
      <c r="F17" s="36">
        <f t="shared" si="15"/>
        <v>37998604.792509854</v>
      </c>
      <c r="G17" s="36">
        <f t="shared" si="15"/>
        <v>47702901.9583444</v>
      </c>
      <c r="H17" s="11"/>
      <c r="I17" s="36">
        <f t="shared" ref="I17:M17" si="16">SUM(I18:I21)</f>
        <v>9990271.0499999989</v>
      </c>
      <c r="J17" s="36">
        <f t="shared" si="16"/>
        <v>1202109.9300000002</v>
      </c>
      <c r="K17" s="36">
        <f t="shared" si="16"/>
        <v>31526874.629999995</v>
      </c>
      <c r="L17" s="36">
        <f t="shared" si="16"/>
        <v>2923332.0599999996</v>
      </c>
      <c r="M17" s="36">
        <f t="shared" si="16"/>
        <v>102205982.97886693</v>
      </c>
      <c r="N17" s="11"/>
      <c r="O17" s="36">
        <f t="shared" si="8"/>
        <v>262904423.37526479</v>
      </c>
      <c r="P17" s="36">
        <f t="shared" si="1"/>
        <v>113398363.95886694</v>
      </c>
      <c r="Q17" s="36">
        <f t="shared" si="2"/>
        <v>149506059.41639787</v>
      </c>
      <c r="R17" s="37">
        <f t="shared" si="3"/>
        <v>2.3184146066748217</v>
      </c>
      <c r="S17" s="11"/>
      <c r="T17" s="36">
        <f t="shared" si="7"/>
        <v>176983144.86197355</v>
      </c>
      <c r="U17" s="36">
        <f t="shared" si="4"/>
        <v>45642587.669999994</v>
      </c>
      <c r="V17" s="36">
        <f t="shared" si="5"/>
        <v>131340557.19197357</v>
      </c>
      <c r="W17" s="37">
        <f t="shared" si="6"/>
        <v>3.8775878822116217</v>
      </c>
      <c r="X17" s="11"/>
    </row>
    <row r="18" spans="1:24" s="60" customFormat="1" x14ac:dyDescent="0.35">
      <c r="A18" s="20" t="s">
        <v>61</v>
      </c>
      <c r="B18" s="21">
        <v>93839497.032776564</v>
      </c>
      <c r="C18" s="21">
        <v>53400556.335768603</v>
      </c>
      <c r="D18" s="21">
        <v>-2103666.212147966</v>
      </c>
      <c r="E18" s="21">
        <v>219771.76243699898</v>
      </c>
      <c r="F18" s="21">
        <v>37797362.697446831</v>
      </c>
      <c r="G18" s="21">
        <v>40064153.322334543</v>
      </c>
      <c r="H18" s="22"/>
      <c r="I18" s="21">
        <v>7040208.7999999998</v>
      </c>
      <c r="J18" s="21">
        <v>429470.2</v>
      </c>
      <c r="K18" s="21">
        <v>26940501.5</v>
      </c>
      <c r="L18" s="21">
        <v>1127754.1299999999</v>
      </c>
      <c r="M18" s="21">
        <v>90695116.959167704</v>
      </c>
      <c r="N18" s="22"/>
      <c r="O18" s="21">
        <f t="shared" si="8"/>
        <v>223217674.93861556</v>
      </c>
      <c r="P18" s="21">
        <f t="shared" si="1"/>
        <v>98164795.959167704</v>
      </c>
      <c r="Q18" s="21">
        <f t="shared" si="2"/>
        <v>125052878.97944786</v>
      </c>
      <c r="R18" s="23">
        <f t="shared" si="3"/>
        <v>2.2739075934254926</v>
      </c>
      <c r="S18" s="22"/>
      <c r="T18" s="21">
        <f t="shared" si="7"/>
        <v>145136387.15639722</v>
      </c>
      <c r="U18" s="21">
        <f t="shared" si="4"/>
        <v>35537934.630000003</v>
      </c>
      <c r="V18" s="24">
        <f t="shared" si="5"/>
        <v>109598452.52639723</v>
      </c>
      <c r="W18" s="25">
        <f t="shared" si="6"/>
        <v>4.0839848648344823</v>
      </c>
      <c r="X18" s="22"/>
    </row>
    <row r="19" spans="1:24" s="60" customFormat="1" x14ac:dyDescent="0.35">
      <c r="A19" s="20" t="s">
        <v>62</v>
      </c>
      <c r="B19" s="21">
        <v>14141080.929408176</v>
      </c>
      <c r="C19" s="21">
        <v>6857681.3092186544</v>
      </c>
      <c r="D19" s="21">
        <v>7343272.7119948817</v>
      </c>
      <c r="E19" s="21">
        <v>0</v>
      </c>
      <c r="F19" s="21">
        <v>0</v>
      </c>
      <c r="G19" s="21">
        <v>6490008.5951493885</v>
      </c>
      <c r="H19" s="22"/>
      <c r="I19" s="21">
        <v>2639446.13</v>
      </c>
      <c r="J19" s="21">
        <v>624139.36</v>
      </c>
      <c r="K19" s="21">
        <v>3605028.76</v>
      </c>
      <c r="L19" s="21">
        <v>1691570.89</v>
      </c>
      <c r="M19" s="21">
        <v>9916799.1434591636</v>
      </c>
      <c r="N19" s="22"/>
      <c r="O19" s="21">
        <f t="shared" si="8"/>
        <v>34832043.5457711</v>
      </c>
      <c r="P19" s="21">
        <f t="shared" si="1"/>
        <v>13180384.633459164</v>
      </c>
      <c r="Q19" s="21">
        <f t="shared" si="2"/>
        <v>21651658.912311934</v>
      </c>
      <c r="R19" s="23">
        <f t="shared" si="3"/>
        <v>2.642718290431977</v>
      </c>
      <c r="S19" s="22"/>
      <c r="T19" s="21">
        <f t="shared" si="7"/>
        <v>28342034.950621713</v>
      </c>
      <c r="U19" s="21">
        <f t="shared" si="4"/>
        <v>8560185.1400000006</v>
      </c>
      <c r="V19" s="24">
        <f t="shared" si="5"/>
        <v>19781849.810621712</v>
      </c>
      <c r="W19" s="25">
        <f t="shared" si="6"/>
        <v>3.3109137813135794</v>
      </c>
      <c r="X19" s="22"/>
    </row>
    <row r="20" spans="1:24" s="60" customFormat="1" x14ac:dyDescent="0.35">
      <c r="A20" s="20" t="s">
        <v>63</v>
      </c>
      <c r="B20" s="21">
        <v>1078055.2059194727</v>
      </c>
      <c r="C20" s="21">
        <v>191486.85901105247</v>
      </c>
      <c r="D20" s="21">
        <v>310327.39692831313</v>
      </c>
      <c r="E20" s="21">
        <v>0</v>
      </c>
      <c r="F20" s="21">
        <v>0</v>
      </c>
      <c r="G20" s="21">
        <v>370884.85383114143</v>
      </c>
      <c r="H20" s="22"/>
      <c r="I20" s="21">
        <v>155308.43</v>
      </c>
      <c r="J20" s="21">
        <v>148500.37</v>
      </c>
      <c r="K20" s="21">
        <v>241682.65</v>
      </c>
      <c r="L20" s="21">
        <v>104007.03999999999</v>
      </c>
      <c r="M20" s="21">
        <v>624894.59639999992</v>
      </c>
      <c r="N20" s="22"/>
      <c r="O20" s="21">
        <f t="shared" si="8"/>
        <v>1950754.3156899798</v>
      </c>
      <c r="P20" s="21">
        <f t="shared" si="1"/>
        <v>928703.39639999997</v>
      </c>
      <c r="Q20" s="21">
        <f t="shared" si="2"/>
        <v>1022050.9192899799</v>
      </c>
      <c r="R20" s="23">
        <f t="shared" si="3"/>
        <v>2.1005138166306159</v>
      </c>
      <c r="S20" s="22"/>
      <c r="T20" s="21">
        <f t="shared" si="7"/>
        <v>1579869.4618588383</v>
      </c>
      <c r="U20" s="21">
        <f t="shared" si="4"/>
        <v>649498.49</v>
      </c>
      <c r="V20" s="24">
        <f t="shared" si="5"/>
        <v>930370.97185883834</v>
      </c>
      <c r="W20" s="25">
        <f t="shared" si="6"/>
        <v>2.4324451652825836</v>
      </c>
      <c r="X20" s="22"/>
    </row>
    <row r="21" spans="1:24" s="60" customFormat="1" ht="15" thickBot="1" x14ac:dyDescent="0.4">
      <c r="A21" s="26" t="s">
        <v>64</v>
      </c>
      <c r="B21" s="27">
        <v>1924853.2930957903</v>
      </c>
      <c r="C21" s="27">
        <v>0</v>
      </c>
      <c r="D21" s="27">
        <v>0</v>
      </c>
      <c r="E21" s="27">
        <v>0</v>
      </c>
      <c r="F21" s="21">
        <v>201242.09506302353</v>
      </c>
      <c r="G21" s="27">
        <v>777855.1870293211</v>
      </c>
      <c r="H21" s="22"/>
      <c r="I21" s="27">
        <v>155307.69</v>
      </c>
      <c r="J21" s="27">
        <v>0</v>
      </c>
      <c r="K21" s="27">
        <v>739661.72</v>
      </c>
      <c r="L21" s="27">
        <v>0</v>
      </c>
      <c r="M21" s="27">
        <v>969172.27984007809</v>
      </c>
      <c r="N21" s="22"/>
      <c r="O21" s="27">
        <f t="shared" si="8"/>
        <v>2903950.5751881353</v>
      </c>
      <c r="P21" s="27">
        <f t="shared" si="1"/>
        <v>1124479.9698400781</v>
      </c>
      <c r="Q21" s="27">
        <f t="shared" si="2"/>
        <v>1779470.6053480571</v>
      </c>
      <c r="R21" s="28">
        <f t="shared" si="3"/>
        <v>2.5824831505012318</v>
      </c>
      <c r="S21" s="22"/>
      <c r="T21" s="27">
        <f t="shared" si="7"/>
        <v>1924853.2930957903</v>
      </c>
      <c r="U21" s="27">
        <f t="shared" si="4"/>
        <v>894969.40999999992</v>
      </c>
      <c r="V21" s="33">
        <f t="shared" si="5"/>
        <v>1029883.8830957904</v>
      </c>
      <c r="W21" s="32">
        <f t="shared" si="6"/>
        <v>2.1507475804070113</v>
      </c>
      <c r="X21" s="22"/>
    </row>
    <row r="22" spans="1:24" x14ac:dyDescent="0.35">
      <c r="A22" s="35" t="s">
        <v>66</v>
      </c>
      <c r="B22" s="36">
        <f>B23+B24+B25+B26+B27</f>
        <v>0</v>
      </c>
      <c r="C22" s="36">
        <f t="shared" ref="C22:G22" si="17">C23+C24+C25+C26+C27</f>
        <v>0</v>
      </c>
      <c r="D22" s="36">
        <f t="shared" si="17"/>
        <v>0</v>
      </c>
      <c r="E22" s="36">
        <f t="shared" si="17"/>
        <v>0</v>
      </c>
      <c r="F22" s="36">
        <f t="shared" si="17"/>
        <v>0</v>
      </c>
      <c r="G22" s="36">
        <f t="shared" si="17"/>
        <v>0</v>
      </c>
      <c r="H22" s="11"/>
      <c r="I22" s="36">
        <f>I23+I24+I25+I26+I27</f>
        <v>12091692.33</v>
      </c>
      <c r="J22" s="36">
        <f t="shared" ref="J22:M22" si="18">J23+J24+J25+J26+J27</f>
        <v>1657070.41</v>
      </c>
      <c r="K22" s="36">
        <f t="shared" si="18"/>
        <v>1346486.54</v>
      </c>
      <c r="L22" s="36">
        <f t="shared" si="18"/>
        <v>315654.08</v>
      </c>
      <c r="M22" s="36">
        <f t="shared" si="18"/>
        <v>0</v>
      </c>
      <c r="N22" s="11"/>
      <c r="O22" s="36">
        <f t="shared" si="8"/>
        <v>0</v>
      </c>
      <c r="P22" s="36">
        <f t="shared" si="1"/>
        <v>13748762.74</v>
      </c>
      <c r="Q22" s="36">
        <f t="shared" si="2"/>
        <v>-13748762.74</v>
      </c>
      <c r="R22" s="40" t="s">
        <v>59</v>
      </c>
      <c r="S22" s="11"/>
      <c r="T22" s="36">
        <f>B22+C22+D22</f>
        <v>0</v>
      </c>
      <c r="U22" s="36">
        <f t="shared" si="4"/>
        <v>15410903.360000001</v>
      </c>
      <c r="V22" s="36">
        <f t="shared" si="5"/>
        <v>-15410903.360000001</v>
      </c>
      <c r="W22" s="32" t="s">
        <v>59</v>
      </c>
      <c r="X22" s="11"/>
    </row>
    <row r="23" spans="1:24" s="60" customFormat="1" x14ac:dyDescent="0.35">
      <c r="A23" s="20" t="s">
        <v>67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2"/>
      <c r="I23" s="21">
        <v>3101461.54</v>
      </c>
      <c r="J23" s="21">
        <v>160901.51</v>
      </c>
      <c r="K23" s="21">
        <v>0</v>
      </c>
      <c r="L23" s="21">
        <v>0</v>
      </c>
      <c r="M23" s="21">
        <v>0</v>
      </c>
      <c r="N23" s="22"/>
      <c r="O23" s="41">
        <f t="shared" si="8"/>
        <v>0</v>
      </c>
      <c r="P23" s="21">
        <f t="shared" si="1"/>
        <v>3262363.05</v>
      </c>
      <c r="Q23" s="21">
        <f t="shared" si="2"/>
        <v>-3262363.05</v>
      </c>
      <c r="R23" s="32" t="s">
        <v>59</v>
      </c>
      <c r="S23" s="22"/>
      <c r="T23" s="21">
        <f t="shared" si="7"/>
        <v>0</v>
      </c>
      <c r="U23" s="21">
        <f t="shared" si="4"/>
        <v>3262363.05</v>
      </c>
      <c r="V23" s="24">
        <f t="shared" si="5"/>
        <v>-3262363.05</v>
      </c>
      <c r="W23" s="32" t="s">
        <v>59</v>
      </c>
      <c r="X23" s="22"/>
    </row>
    <row r="24" spans="1:24" s="60" customFormat="1" x14ac:dyDescent="0.35">
      <c r="A24" s="20" t="s">
        <v>68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2"/>
      <c r="I24" s="21">
        <v>2189671.25</v>
      </c>
      <c r="J24" s="21">
        <v>327844.25</v>
      </c>
      <c r="K24" s="21">
        <v>0</v>
      </c>
      <c r="L24" s="21">
        <v>0</v>
      </c>
      <c r="M24" s="21">
        <v>0</v>
      </c>
      <c r="N24" s="22"/>
      <c r="O24" s="41">
        <f t="shared" si="8"/>
        <v>0</v>
      </c>
      <c r="P24" s="21">
        <f t="shared" si="1"/>
        <v>2517515.5</v>
      </c>
      <c r="Q24" s="21">
        <f t="shared" si="2"/>
        <v>-2517515.5</v>
      </c>
      <c r="R24" s="32" t="s">
        <v>59</v>
      </c>
      <c r="S24" s="22"/>
      <c r="T24" s="21">
        <f t="shared" si="7"/>
        <v>0</v>
      </c>
      <c r="U24" s="21">
        <f t="shared" si="4"/>
        <v>2517515.5</v>
      </c>
      <c r="V24" s="24">
        <f t="shared" si="5"/>
        <v>-2517515.5</v>
      </c>
      <c r="W24" s="32" t="s">
        <v>59</v>
      </c>
      <c r="X24" s="22"/>
    </row>
    <row r="25" spans="1:24" s="60" customFormat="1" x14ac:dyDescent="0.35">
      <c r="A25" s="20" t="s">
        <v>69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2"/>
      <c r="I25" s="21">
        <v>3326155.61</v>
      </c>
      <c r="J25" s="21">
        <v>478443.07</v>
      </c>
      <c r="K25" s="21">
        <v>0</v>
      </c>
      <c r="L25" s="21">
        <v>0</v>
      </c>
      <c r="M25" s="21">
        <v>0</v>
      </c>
      <c r="N25" s="22"/>
      <c r="O25" s="41">
        <f t="shared" si="8"/>
        <v>0</v>
      </c>
      <c r="P25" s="21">
        <f t="shared" si="1"/>
        <v>3804598.6799999997</v>
      </c>
      <c r="Q25" s="21">
        <f t="shared" si="2"/>
        <v>-3804598.6799999997</v>
      </c>
      <c r="R25" s="32" t="s">
        <v>59</v>
      </c>
      <c r="S25" s="22"/>
      <c r="T25" s="21">
        <f t="shared" si="7"/>
        <v>0</v>
      </c>
      <c r="U25" s="21">
        <f t="shared" si="4"/>
        <v>3804598.6799999997</v>
      </c>
      <c r="V25" s="24">
        <f t="shared" si="5"/>
        <v>-3804598.6799999997</v>
      </c>
      <c r="W25" s="32" t="s">
        <v>59</v>
      </c>
      <c r="X25" s="22"/>
    </row>
    <row r="26" spans="1:24" s="60" customFormat="1" x14ac:dyDescent="0.35">
      <c r="A26" s="26" t="s">
        <v>70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2"/>
      <c r="I26" s="27">
        <v>5048383.3499999996</v>
      </c>
      <c r="J26" s="27">
        <v>704515.84</v>
      </c>
      <c r="K26" s="27">
        <v>0</v>
      </c>
      <c r="L26" s="27">
        <v>0</v>
      </c>
      <c r="M26" s="27">
        <v>0</v>
      </c>
      <c r="N26" s="22"/>
      <c r="O26" s="39">
        <f t="shared" si="8"/>
        <v>0</v>
      </c>
      <c r="P26" s="27">
        <f t="shared" si="1"/>
        <v>5752899.1899999995</v>
      </c>
      <c r="Q26" s="27">
        <f t="shared" si="2"/>
        <v>-5752899.1899999995</v>
      </c>
      <c r="R26" s="42" t="s">
        <v>59</v>
      </c>
      <c r="S26" s="22"/>
      <c r="T26" s="27">
        <f t="shared" si="7"/>
        <v>0</v>
      </c>
      <c r="U26" s="27">
        <f t="shared" si="4"/>
        <v>5752899.1899999995</v>
      </c>
      <c r="V26" s="27">
        <f t="shared" si="5"/>
        <v>-5752899.1899999995</v>
      </c>
      <c r="W26" s="42" t="s">
        <v>59</v>
      </c>
      <c r="X26" s="22"/>
    </row>
    <row r="27" spans="1:24" s="60" customFormat="1" ht="15" thickBot="1" x14ac:dyDescent="0.4">
      <c r="A27" s="20" t="s">
        <v>71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2"/>
      <c r="I27" s="27">
        <v>-1573979.42</v>
      </c>
      <c r="J27" s="27">
        <v>-14634.26</v>
      </c>
      <c r="K27" s="27">
        <v>1346486.54</v>
      </c>
      <c r="L27" s="27">
        <v>315654.08</v>
      </c>
      <c r="M27" s="27">
        <v>0</v>
      </c>
      <c r="N27" s="22"/>
      <c r="O27" s="39">
        <f t="shared" si="8"/>
        <v>0</v>
      </c>
      <c r="P27" s="27">
        <f t="shared" si="1"/>
        <v>-1588613.68</v>
      </c>
      <c r="Q27" s="27">
        <f t="shared" si="2"/>
        <v>1588613.68</v>
      </c>
      <c r="R27" s="42" t="s">
        <v>59</v>
      </c>
      <c r="S27" s="22"/>
      <c r="T27" s="27">
        <f t="shared" si="7"/>
        <v>0</v>
      </c>
      <c r="U27" s="27">
        <f t="shared" si="4"/>
        <v>73526.940000000119</v>
      </c>
      <c r="V27" s="27">
        <f t="shared" si="5"/>
        <v>-73526.940000000119</v>
      </c>
      <c r="W27" s="42" t="s">
        <v>59</v>
      </c>
      <c r="X27" s="22"/>
    </row>
    <row r="28" spans="1:24" s="60" customFormat="1" x14ac:dyDescent="0.35">
      <c r="A28" s="35" t="s">
        <v>114</v>
      </c>
      <c r="B28" s="36">
        <f>SUM(B29)</f>
        <v>186421.50979497615</v>
      </c>
      <c r="C28" s="36">
        <f t="shared" ref="C28:G28" si="19">SUM(C29)</f>
        <v>111098.00138972029</v>
      </c>
      <c r="D28" s="36">
        <f t="shared" si="19"/>
        <v>175272.55001427743</v>
      </c>
      <c r="E28" s="36">
        <f t="shared" si="19"/>
        <v>0</v>
      </c>
      <c r="F28" s="36">
        <f t="shared" si="19"/>
        <v>52364.480000000003</v>
      </c>
      <c r="G28" s="36">
        <f t="shared" si="19"/>
        <v>81208.25003793856</v>
      </c>
      <c r="H28" s="22"/>
      <c r="I28" s="36">
        <f>SUM(I29)</f>
        <v>0</v>
      </c>
      <c r="J28" s="36">
        <f t="shared" ref="J28:M28" si="20">SUM(J29)</f>
        <v>0</v>
      </c>
      <c r="K28" s="36">
        <f t="shared" si="20"/>
        <v>0</v>
      </c>
      <c r="L28" s="36">
        <f t="shared" si="20"/>
        <v>0</v>
      </c>
      <c r="M28" s="36">
        <f t="shared" si="20"/>
        <v>53743.62</v>
      </c>
      <c r="N28" s="22"/>
      <c r="O28" s="36">
        <f t="shared" si="8"/>
        <v>606364.79123691248</v>
      </c>
      <c r="P28" s="36">
        <f t="shared" si="1"/>
        <v>53743.62</v>
      </c>
      <c r="Q28" s="36">
        <f t="shared" si="2"/>
        <v>552621.17123691249</v>
      </c>
      <c r="R28" s="40" t="s">
        <v>59</v>
      </c>
      <c r="S28" s="22"/>
      <c r="T28" s="36">
        <f t="shared" si="7"/>
        <v>472792.06119897391</v>
      </c>
      <c r="U28" s="36">
        <f t="shared" si="4"/>
        <v>0</v>
      </c>
      <c r="V28" s="36">
        <f t="shared" si="5"/>
        <v>472792.06119897391</v>
      </c>
      <c r="W28" s="40" t="s">
        <v>59</v>
      </c>
      <c r="X28" s="22"/>
    </row>
    <row r="29" spans="1:24" s="60" customFormat="1" ht="15" thickBot="1" x14ac:dyDescent="0.4">
      <c r="A29" s="20" t="s">
        <v>65</v>
      </c>
      <c r="B29" s="33">
        <v>186421.50979497615</v>
      </c>
      <c r="C29" s="33">
        <v>111098.00138972029</v>
      </c>
      <c r="D29" s="33">
        <v>175272.55001427743</v>
      </c>
      <c r="E29" s="33">
        <v>0</v>
      </c>
      <c r="F29" s="33">
        <v>52364.480000000003</v>
      </c>
      <c r="G29" s="38">
        <v>81208.25003793856</v>
      </c>
      <c r="H29" s="22"/>
      <c r="I29" s="61">
        <v>0</v>
      </c>
      <c r="J29" s="33">
        <v>0</v>
      </c>
      <c r="K29" s="33">
        <v>0</v>
      </c>
      <c r="L29" s="33">
        <v>0</v>
      </c>
      <c r="M29" s="38">
        <v>53743.62</v>
      </c>
      <c r="N29" s="22"/>
      <c r="O29" s="39">
        <f t="shared" si="8"/>
        <v>606364.79123691248</v>
      </c>
      <c r="P29" s="27">
        <f t="shared" si="1"/>
        <v>53743.62</v>
      </c>
      <c r="Q29" s="27">
        <f t="shared" si="2"/>
        <v>552621.17123691249</v>
      </c>
      <c r="R29" s="42" t="s">
        <v>59</v>
      </c>
      <c r="S29" s="22"/>
      <c r="T29" s="27">
        <f t="shared" si="7"/>
        <v>472792.06119897391</v>
      </c>
      <c r="U29" s="27">
        <f t="shared" si="4"/>
        <v>0</v>
      </c>
      <c r="V29" s="27">
        <f t="shared" si="5"/>
        <v>472792.06119897391</v>
      </c>
      <c r="W29" s="42" t="s">
        <v>59</v>
      </c>
      <c r="X29" s="22"/>
    </row>
    <row r="30" spans="1:24" x14ac:dyDescent="0.35">
      <c r="A30" s="43" t="s">
        <v>115</v>
      </c>
      <c r="B30" s="55">
        <f t="shared" ref="B30:G30" si="21">B4+B17+B22+B28</f>
        <v>145431762.64046922</v>
      </c>
      <c r="C30" s="55">
        <f t="shared" si="21"/>
        <v>83252229.534852937</v>
      </c>
      <c r="D30" s="55">
        <f t="shared" si="21"/>
        <v>17801022.441772792</v>
      </c>
      <c r="E30" s="55">
        <f t="shared" si="21"/>
        <v>5748168.9655172592</v>
      </c>
      <c r="F30" s="62">
        <f t="shared" si="21"/>
        <v>47236594.515468419</v>
      </c>
      <c r="G30" s="55">
        <f t="shared" si="21"/>
        <v>60954898.462027207</v>
      </c>
      <c r="H30" s="44"/>
      <c r="I30" s="56">
        <f>I4+I17+I22+I28</f>
        <v>35307289.359999999</v>
      </c>
      <c r="J30" s="56">
        <f>J4+J17+J22+J28</f>
        <v>4884594.5999999996</v>
      </c>
      <c r="K30" s="56">
        <f>K4+K17+K22+K28</f>
        <v>60528058.019999996</v>
      </c>
      <c r="L30" s="56">
        <f>L4+L17+L22+L28</f>
        <v>10086935.689999999</v>
      </c>
      <c r="M30" s="63">
        <f>M4+M17+M22+M28</f>
        <v>124342717.31205052</v>
      </c>
      <c r="N30" s="44"/>
      <c r="O30" s="55">
        <f t="shared" si="8"/>
        <v>360424676.56010783</v>
      </c>
      <c r="P30" s="55">
        <f>I30+J30+M30</f>
        <v>164534601.27205053</v>
      </c>
      <c r="Q30" s="55">
        <f>O30-P30</f>
        <v>195890075.2880573</v>
      </c>
      <c r="R30" s="45">
        <f>O30/P30</f>
        <v>2.1905706992546929</v>
      </c>
      <c r="S30" s="44"/>
      <c r="T30" s="55">
        <f>B30+C30+D30</f>
        <v>246485014.61709496</v>
      </c>
      <c r="U30" s="55">
        <f>I30+J30+K30+L30</f>
        <v>110806877.66999999</v>
      </c>
      <c r="V30" s="55">
        <f>T30-U30</f>
        <v>135678136.94709498</v>
      </c>
      <c r="W30" s="45">
        <f>T30/U30</f>
        <v>2.2244559164564266</v>
      </c>
      <c r="X30" s="44"/>
    </row>
    <row r="31" spans="1:24" x14ac:dyDescent="0.3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</row>
    <row r="32" spans="1:24" x14ac:dyDescent="0.35">
      <c r="A32" s="64"/>
      <c r="B32" s="64"/>
      <c r="C32" s="64"/>
      <c r="D32" s="64"/>
      <c r="E32" s="64" t="s">
        <v>116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</row>
    <row r="33" spans="1:24" x14ac:dyDescent="0.3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</row>
    <row r="34" spans="1:24" x14ac:dyDescent="0.3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</row>
    <row r="35" spans="1:24" x14ac:dyDescent="0.3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1:24" x14ac:dyDescent="0.3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4" x14ac:dyDescent="0.3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1E16-B407-4B90-8ADE-18563EBA7BB5}">
  <dimension ref="A1:W4"/>
  <sheetViews>
    <sheetView zoomScale="80" zoomScaleNormal="80" workbookViewId="0">
      <selection activeCell="G22" sqref="G22"/>
    </sheetView>
  </sheetViews>
  <sheetFormatPr defaultRowHeight="14.5" x14ac:dyDescent="0.35"/>
  <cols>
    <col min="1" max="1" width="19.1796875" bestFit="1" customWidth="1"/>
    <col min="2" max="2" width="23" bestFit="1" customWidth="1"/>
    <col min="3" max="3" width="21" bestFit="1" customWidth="1"/>
    <col min="4" max="4" width="20.1796875" bestFit="1" customWidth="1"/>
    <col min="5" max="5" width="17.7265625" bestFit="1" customWidth="1"/>
    <col min="6" max="6" width="16.7265625" bestFit="1" customWidth="1"/>
    <col min="7" max="7" width="20" bestFit="1" customWidth="1"/>
    <col min="8" max="8" width="1.7265625" customWidth="1"/>
    <col min="9" max="9" width="18.453125" bestFit="1" customWidth="1"/>
    <col min="10" max="10" width="18.453125" customWidth="1"/>
    <col min="11" max="11" width="14.453125" bestFit="1" customWidth="1"/>
    <col min="12" max="12" width="15.26953125" customWidth="1"/>
    <col min="13" max="13" width="18.26953125" customWidth="1"/>
    <col min="14" max="14" width="1.7265625" customWidth="1"/>
    <col min="15" max="15" width="17.81640625" bestFit="1" customWidth="1"/>
    <col min="16" max="16" width="12.1796875" bestFit="1" customWidth="1"/>
    <col min="17" max="17" width="22.81640625" customWidth="1"/>
    <col min="18" max="18" width="15.81640625" bestFit="1" customWidth="1"/>
    <col min="19" max="19" width="1.7265625" customWidth="1"/>
    <col min="20" max="23" width="19.81640625" customWidth="1"/>
  </cols>
  <sheetData>
    <row r="1" spans="1:23" x14ac:dyDescent="0.35">
      <c r="A1" s="111" t="s">
        <v>11</v>
      </c>
      <c r="B1" s="113" t="s">
        <v>12</v>
      </c>
      <c r="C1" s="114"/>
      <c r="D1" s="114"/>
      <c r="E1" s="114"/>
      <c r="F1" s="114"/>
      <c r="G1" s="115"/>
      <c r="H1" s="8"/>
      <c r="I1" s="113" t="s">
        <v>13</v>
      </c>
      <c r="J1" s="114"/>
      <c r="K1" s="114"/>
      <c r="L1" s="114"/>
      <c r="M1" s="115"/>
      <c r="N1" s="8"/>
      <c r="O1" s="113" t="s">
        <v>14</v>
      </c>
      <c r="P1" s="114"/>
      <c r="Q1" s="114"/>
      <c r="R1" s="115"/>
      <c r="S1" s="8"/>
      <c r="T1" s="113" t="s">
        <v>137</v>
      </c>
      <c r="U1" s="114"/>
      <c r="V1" s="114"/>
      <c r="W1" s="115"/>
    </row>
    <row r="2" spans="1:23" ht="27" x14ac:dyDescent="0.35">
      <c r="A2" s="112"/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1"/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1"/>
      <c r="O2" s="10" t="s">
        <v>27</v>
      </c>
      <c r="P2" s="10" t="s">
        <v>28</v>
      </c>
      <c r="Q2" s="10" t="s">
        <v>29</v>
      </c>
      <c r="R2" s="10" t="s">
        <v>30</v>
      </c>
      <c r="S2" s="11"/>
      <c r="T2" s="13" t="s">
        <v>31</v>
      </c>
      <c r="U2" s="13" t="s">
        <v>32</v>
      </c>
      <c r="V2" s="13" t="s">
        <v>33</v>
      </c>
      <c r="W2" s="13" t="s">
        <v>34</v>
      </c>
    </row>
    <row r="3" spans="1:23" x14ac:dyDescent="0.35">
      <c r="A3" s="85" t="s">
        <v>35</v>
      </c>
      <c r="B3" s="85" t="s">
        <v>36</v>
      </c>
      <c r="C3" s="85" t="s">
        <v>37</v>
      </c>
      <c r="D3" s="85" t="s">
        <v>38</v>
      </c>
      <c r="E3" s="85" t="s">
        <v>39</v>
      </c>
      <c r="F3" s="85" t="s">
        <v>72</v>
      </c>
      <c r="G3" s="85" t="s">
        <v>40</v>
      </c>
      <c r="H3" s="11"/>
      <c r="I3" s="85" t="s">
        <v>79</v>
      </c>
      <c r="J3" s="85" t="s">
        <v>41</v>
      </c>
      <c r="K3" s="85" t="s">
        <v>42</v>
      </c>
      <c r="L3" s="85" t="s">
        <v>43</v>
      </c>
      <c r="M3" s="85" t="s">
        <v>44</v>
      </c>
      <c r="N3" s="11"/>
      <c r="O3" s="85" t="s">
        <v>80</v>
      </c>
      <c r="P3" s="85" t="s">
        <v>81</v>
      </c>
      <c r="Q3" s="85" t="s">
        <v>82</v>
      </c>
      <c r="R3" s="85" t="s">
        <v>83</v>
      </c>
      <c r="S3" s="11"/>
      <c r="T3" s="85" t="s">
        <v>84</v>
      </c>
      <c r="U3" s="85" t="s">
        <v>85</v>
      </c>
      <c r="V3" s="85" t="s">
        <v>86</v>
      </c>
      <c r="W3" s="85" t="s">
        <v>87</v>
      </c>
    </row>
    <row r="4" spans="1:23" x14ac:dyDescent="0.35">
      <c r="A4" s="47" t="s">
        <v>73</v>
      </c>
      <c r="B4" s="16">
        <v>5808352.3032945702</v>
      </c>
      <c r="C4" s="16">
        <v>1796664.1741744711</v>
      </c>
      <c r="D4" s="16">
        <v>0</v>
      </c>
      <c r="E4" s="16">
        <v>0</v>
      </c>
      <c r="F4" s="16">
        <v>0</v>
      </c>
      <c r="G4" s="16">
        <v>2643359.5232782443</v>
      </c>
      <c r="H4" s="86"/>
      <c r="I4" s="16">
        <v>1149608.3999999999</v>
      </c>
      <c r="J4" s="16">
        <v>0</v>
      </c>
      <c r="K4" s="16">
        <v>0</v>
      </c>
      <c r="L4" s="16">
        <v>0</v>
      </c>
      <c r="M4" s="16">
        <v>1001484.8932575068</v>
      </c>
      <c r="N4" s="86"/>
      <c r="O4" s="16">
        <f>B4+C4+E4+D4+G4</f>
        <v>10248376.000747286</v>
      </c>
      <c r="P4" s="16">
        <f>I4+J4+M4</f>
        <v>2151093.2932575066</v>
      </c>
      <c r="Q4" s="16">
        <f>O4-P4</f>
        <v>8097282.7074897792</v>
      </c>
      <c r="R4" s="17">
        <f>O4/P4</f>
        <v>4.7642638433536577</v>
      </c>
      <c r="S4" s="86"/>
      <c r="T4" s="16">
        <f>B4+C4+D4</f>
        <v>7605016.477469041</v>
      </c>
      <c r="U4" s="16">
        <f>I4+J4+K4+L4+M4</f>
        <v>2151093.2932575066</v>
      </c>
      <c r="V4" s="16">
        <f t="shared" ref="V4" si="0">T4-U4</f>
        <v>5453923.1842115344</v>
      </c>
      <c r="W4" s="17">
        <f t="shared" ref="W4" si="1">T4/U4</f>
        <v>3.5354191755915849</v>
      </c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8267-5377-4AC4-BAD1-FE5427F55A43}">
  <sheetPr>
    <tabColor theme="5"/>
  </sheetPr>
  <dimension ref="A1"/>
  <sheetViews>
    <sheetView workbookViewId="0">
      <selection activeCell="E26" sqref="E26"/>
    </sheetView>
  </sheetViews>
  <sheetFormatPr defaultRowHeight="14.5" x14ac:dyDescent="0.3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D059-DB26-4F88-83D7-5D71B0258006}">
  <dimension ref="A1:W23"/>
  <sheetViews>
    <sheetView zoomScale="90" zoomScaleNormal="90" workbookViewId="0">
      <selection activeCell="M27" sqref="M27"/>
    </sheetView>
  </sheetViews>
  <sheetFormatPr defaultRowHeight="14.5" x14ac:dyDescent="0.35"/>
  <cols>
    <col min="1" max="1" width="22.54296875" bestFit="1" customWidth="1"/>
    <col min="2" max="2" width="16.81640625" bestFit="1" customWidth="1"/>
    <col min="3" max="4" width="15.54296875" bestFit="1" customWidth="1"/>
    <col min="5" max="5" width="14.26953125" bestFit="1" customWidth="1"/>
    <col min="6" max="7" width="15.54296875" bestFit="1" customWidth="1"/>
    <col min="8" max="8" width="2.26953125" customWidth="1"/>
    <col min="9" max="9" width="15.54296875" bestFit="1" customWidth="1"/>
    <col min="10" max="10" width="14.26953125" bestFit="1" customWidth="1"/>
    <col min="11" max="12" width="15.54296875" bestFit="1" customWidth="1"/>
    <col min="13" max="13" width="16.81640625" bestFit="1" customWidth="1"/>
    <col min="14" max="14" width="2.26953125" customWidth="1"/>
    <col min="15" max="15" width="18.453125" bestFit="1" customWidth="1"/>
    <col min="16" max="17" width="16.81640625" bestFit="1" customWidth="1"/>
    <col min="18" max="18" width="9.453125" bestFit="1" customWidth="1"/>
    <col min="19" max="19" width="2.26953125" customWidth="1"/>
    <col min="20" max="21" width="16.81640625" bestFit="1" customWidth="1"/>
    <col min="22" max="22" width="18.54296875" bestFit="1" customWidth="1"/>
    <col min="23" max="23" width="12.7265625" bestFit="1" customWidth="1"/>
  </cols>
  <sheetData>
    <row r="1" spans="1:23" x14ac:dyDescent="0.35">
      <c r="A1" s="111" t="s">
        <v>11</v>
      </c>
      <c r="B1" s="113" t="s">
        <v>12</v>
      </c>
      <c r="C1" s="114"/>
      <c r="D1" s="114"/>
      <c r="E1" s="114"/>
      <c r="F1" s="114"/>
      <c r="G1" s="115"/>
      <c r="H1" s="8"/>
      <c r="I1" s="113" t="s">
        <v>13</v>
      </c>
      <c r="J1" s="114"/>
      <c r="K1" s="114"/>
      <c r="L1" s="114"/>
      <c r="M1" s="115"/>
      <c r="N1" s="8"/>
      <c r="O1" s="113" t="s">
        <v>14</v>
      </c>
      <c r="P1" s="114"/>
      <c r="Q1" s="114"/>
      <c r="R1" s="115"/>
      <c r="S1" s="8"/>
      <c r="T1" s="113" t="s">
        <v>15</v>
      </c>
      <c r="U1" s="114"/>
      <c r="V1" s="114"/>
      <c r="W1" s="115"/>
    </row>
    <row r="2" spans="1:23" ht="27" x14ac:dyDescent="0.35">
      <c r="A2" s="112"/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1"/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1"/>
      <c r="O2" s="10" t="s">
        <v>27</v>
      </c>
      <c r="P2" s="10" t="s">
        <v>28</v>
      </c>
      <c r="Q2" s="10" t="s">
        <v>29</v>
      </c>
      <c r="R2" s="10" t="s">
        <v>30</v>
      </c>
      <c r="S2" s="11"/>
      <c r="T2" s="13" t="s">
        <v>31</v>
      </c>
      <c r="U2" s="13" t="s">
        <v>32</v>
      </c>
      <c r="V2" s="13" t="s">
        <v>33</v>
      </c>
      <c r="W2" s="13" t="s">
        <v>34</v>
      </c>
    </row>
    <row r="3" spans="1:23" x14ac:dyDescent="0.35">
      <c r="A3" s="14" t="s">
        <v>35</v>
      </c>
      <c r="B3" s="14" t="s">
        <v>36</v>
      </c>
      <c r="C3" s="14" t="s">
        <v>37</v>
      </c>
      <c r="D3" s="14" t="s">
        <v>38</v>
      </c>
      <c r="E3" s="14" t="s">
        <v>39</v>
      </c>
      <c r="F3" s="14" t="s">
        <v>72</v>
      </c>
      <c r="G3" s="14" t="s">
        <v>40</v>
      </c>
      <c r="H3" s="11"/>
      <c r="I3" s="14" t="s">
        <v>79</v>
      </c>
      <c r="J3" s="14" t="s">
        <v>41</v>
      </c>
      <c r="K3" s="14" t="s">
        <v>42</v>
      </c>
      <c r="L3" s="14" t="s">
        <v>43</v>
      </c>
      <c r="M3" s="14" t="s">
        <v>44</v>
      </c>
      <c r="N3" s="11"/>
      <c r="O3" s="14" t="s">
        <v>80</v>
      </c>
      <c r="P3" s="14" t="s">
        <v>81</v>
      </c>
      <c r="Q3" s="14" t="s">
        <v>82</v>
      </c>
      <c r="R3" s="14" t="s">
        <v>83</v>
      </c>
      <c r="S3" s="11"/>
      <c r="T3" s="14" t="s">
        <v>84</v>
      </c>
      <c r="U3" s="14" t="s">
        <v>110</v>
      </c>
      <c r="V3" s="14" t="s">
        <v>86</v>
      </c>
      <c r="W3" s="14" t="s">
        <v>87</v>
      </c>
    </row>
    <row r="4" spans="1:23" x14ac:dyDescent="0.35">
      <c r="A4" s="15" t="s">
        <v>45</v>
      </c>
      <c r="B4" s="16">
        <f>SUM(B5:B12)</f>
        <v>50670512.542158186</v>
      </c>
      <c r="C4" s="16">
        <f t="shared" ref="C4:G4" si="0">SUM(C5:C12)</f>
        <v>25497537.110968422</v>
      </c>
      <c r="D4" s="16">
        <f t="shared" si="0"/>
        <v>7612149.5956201134</v>
      </c>
      <c r="E4" s="16">
        <f>SUM(E5:E12)</f>
        <v>5191949.6087563895</v>
      </c>
      <c r="F4" s="16">
        <f t="shared" si="0"/>
        <v>8510493.6307461504</v>
      </c>
      <c r="G4" s="16">
        <f t="shared" si="0"/>
        <v>19295955.756533779</v>
      </c>
      <c r="H4" s="11"/>
      <c r="I4" s="16">
        <f t="shared" ref="I4:M4" si="1">SUM(I5:I12)</f>
        <v>15536822.730000002</v>
      </c>
      <c r="J4" s="16">
        <f t="shared" si="1"/>
        <v>2329818.66</v>
      </c>
      <c r="K4" s="16">
        <f t="shared" si="1"/>
        <v>28910027.84</v>
      </c>
      <c r="L4" s="16">
        <f t="shared" si="1"/>
        <v>6773160.6700000009</v>
      </c>
      <c r="M4" s="16">
        <f t="shared" si="1"/>
        <v>16411384.832403226</v>
      </c>
      <c r="N4" s="11"/>
      <c r="O4" s="16">
        <f>B4+C4+E4+D4+F4+G4</f>
        <v>116778598.24478304</v>
      </c>
      <c r="P4" s="16">
        <f t="shared" ref="P4:P22" si="2">I4+J4+M4</f>
        <v>34278026.222403228</v>
      </c>
      <c r="Q4" s="16">
        <f t="shared" ref="Q4:Q22" si="3">O4-P4</f>
        <v>82500572.022379816</v>
      </c>
      <c r="R4" s="17">
        <f t="shared" ref="R4:R17" si="4">O4/P4</f>
        <v>3.4068063746464952</v>
      </c>
      <c r="S4" s="11"/>
      <c r="T4" s="16">
        <f>B4+C4+D4</f>
        <v>83780199.248746723</v>
      </c>
      <c r="U4" s="16">
        <f t="shared" ref="U4:U17" si="5">I4+J4+K4+L4</f>
        <v>53549829.900000006</v>
      </c>
      <c r="V4" s="18">
        <f t="shared" ref="V4:V17" si="6">T4-U4</f>
        <v>30230369.348746717</v>
      </c>
      <c r="W4" s="19">
        <f t="shared" ref="W4:W17" si="7">T4/U4</f>
        <v>1.5645278314646283</v>
      </c>
    </row>
    <row r="5" spans="1:23" x14ac:dyDescent="0.35">
      <c r="A5" s="20" t="s">
        <v>46</v>
      </c>
      <c r="B5" s="21">
        <v>34308276.855989181</v>
      </c>
      <c r="C5" s="21">
        <v>12798864.651559608</v>
      </c>
      <c r="D5" s="21">
        <v>-4342021.9706113311</v>
      </c>
      <c r="E5" s="21">
        <v>0</v>
      </c>
      <c r="F5" s="21">
        <v>8269218.2059110655</v>
      </c>
      <c r="G5" s="21">
        <v>12456906.87097941</v>
      </c>
      <c r="H5" s="22"/>
      <c r="I5" s="21">
        <v>2523096.59</v>
      </c>
      <c r="J5" s="21">
        <v>202504.59</v>
      </c>
      <c r="K5" s="21">
        <v>6459092.0099999998</v>
      </c>
      <c r="L5" s="21">
        <v>896930.11</v>
      </c>
      <c r="M5" s="21">
        <v>7973619.5234542331</v>
      </c>
      <c r="N5" s="22"/>
      <c r="O5" s="65">
        <f t="shared" ref="O5:O23" si="8">B5+C5+E5+D5+F5+G5</f>
        <v>63491244.613827929</v>
      </c>
      <c r="P5" s="21">
        <f t="shared" si="2"/>
        <v>10699220.703454234</v>
      </c>
      <c r="Q5" s="21">
        <f t="shared" si="3"/>
        <v>52792023.910373695</v>
      </c>
      <c r="R5" s="23">
        <f t="shared" si="4"/>
        <v>5.9341933747875526</v>
      </c>
      <c r="S5" s="22"/>
      <c r="T5" s="21">
        <f t="shared" ref="T5:T23" si="9">B5+C5+D5</f>
        <v>42765119.536937453</v>
      </c>
      <c r="U5" s="21">
        <f t="shared" si="5"/>
        <v>10081623.299999999</v>
      </c>
      <c r="V5" s="24">
        <f t="shared" si="6"/>
        <v>32683496.236937456</v>
      </c>
      <c r="W5" s="25">
        <f t="shared" si="7"/>
        <v>4.241888261877178</v>
      </c>
    </row>
    <row r="6" spans="1:23" x14ac:dyDescent="0.35">
      <c r="A6" s="20" t="s">
        <v>117</v>
      </c>
      <c r="B6" s="21">
        <v>9395279.9511623159</v>
      </c>
      <c r="C6" s="21">
        <v>7888048.9784595715</v>
      </c>
      <c r="D6" s="21">
        <v>10909411.574949199</v>
      </c>
      <c r="E6" s="21">
        <v>2712771.4025530624</v>
      </c>
      <c r="F6" s="21">
        <v>127349.29912000001</v>
      </c>
      <c r="G6" s="21">
        <v>4015176.6859717052</v>
      </c>
      <c r="H6" s="22"/>
      <c r="I6" s="21">
        <v>7738846.3899999997</v>
      </c>
      <c r="J6" s="21">
        <v>1720708.21</v>
      </c>
      <c r="K6" s="21">
        <v>17933482.559999999</v>
      </c>
      <c r="L6" s="21">
        <v>5430348.2800000003</v>
      </c>
      <c r="M6" s="21">
        <v>5464737.8469224917</v>
      </c>
      <c r="N6" s="22"/>
      <c r="O6" s="21">
        <f t="shared" si="8"/>
        <v>35048037.892215855</v>
      </c>
      <c r="P6" s="21">
        <f>I6+J6+M6</f>
        <v>14924292.446922492</v>
      </c>
      <c r="Q6" s="21">
        <f t="shared" si="3"/>
        <v>20123745.445293363</v>
      </c>
      <c r="R6" s="23">
        <f>O6/P6</f>
        <v>2.3483885763336834</v>
      </c>
      <c r="S6" s="22"/>
      <c r="T6" s="21">
        <f t="shared" si="9"/>
        <v>28192740.504571088</v>
      </c>
      <c r="U6" s="21">
        <f t="shared" si="5"/>
        <v>32823385.439999998</v>
      </c>
      <c r="V6" s="24">
        <f t="shared" si="6"/>
        <v>-4630644.93542891</v>
      </c>
      <c r="W6" s="25">
        <f t="shared" si="7"/>
        <v>0.85892238495954154</v>
      </c>
    </row>
    <row r="7" spans="1:23" x14ac:dyDescent="0.35">
      <c r="A7" s="20" t="s">
        <v>52</v>
      </c>
      <c r="B7" s="21">
        <v>696256.08167885698</v>
      </c>
      <c r="C7" s="21">
        <v>265124.96173599618</v>
      </c>
      <c r="D7" s="21">
        <v>294183.99528525397</v>
      </c>
      <c r="E7" s="21">
        <v>1062352.8010135361</v>
      </c>
      <c r="F7" s="21">
        <v>31101.4</v>
      </c>
      <c r="G7" s="21">
        <v>299099.19023167709</v>
      </c>
      <c r="H7" s="22"/>
      <c r="I7" s="21">
        <v>334873.55</v>
      </c>
      <c r="J7" s="21">
        <v>63415.83</v>
      </c>
      <c r="K7" s="21">
        <v>464118.97</v>
      </c>
      <c r="L7" s="21">
        <v>178162.96</v>
      </c>
      <c r="M7" s="21">
        <v>566368.74</v>
      </c>
      <c r="N7" s="22"/>
      <c r="O7" s="21">
        <f t="shared" si="8"/>
        <v>2648118.4299453204</v>
      </c>
      <c r="P7" s="21">
        <f t="shared" si="2"/>
        <v>964658.12</v>
      </c>
      <c r="Q7" s="21">
        <f t="shared" si="3"/>
        <v>1683460.3099453202</v>
      </c>
      <c r="R7" s="23">
        <f t="shared" si="4"/>
        <v>2.745136722578275</v>
      </c>
      <c r="S7" s="22"/>
      <c r="T7" s="21">
        <f t="shared" si="9"/>
        <v>1255565.038700107</v>
      </c>
      <c r="U7" s="21">
        <f t="shared" si="5"/>
        <v>1040571.3099999999</v>
      </c>
      <c r="V7" s="24">
        <f t="shared" si="6"/>
        <v>214993.72870010708</v>
      </c>
      <c r="W7" s="25">
        <f t="shared" si="7"/>
        <v>1.2066112400313123</v>
      </c>
    </row>
    <row r="8" spans="1:23" x14ac:dyDescent="0.35">
      <c r="A8" s="20" t="s">
        <v>111</v>
      </c>
      <c r="B8" s="21">
        <v>792079.43598545063</v>
      </c>
      <c r="C8" s="21">
        <v>550548.47076005815</v>
      </c>
      <c r="D8" s="21">
        <v>175245.84259435986</v>
      </c>
      <c r="E8" s="21">
        <v>0</v>
      </c>
      <c r="F8" s="21">
        <v>0</v>
      </c>
      <c r="G8" s="21">
        <v>277375.48623827775</v>
      </c>
      <c r="H8" s="22"/>
      <c r="I8" s="21">
        <v>1738204.05</v>
      </c>
      <c r="J8" s="21">
        <v>0</v>
      </c>
      <c r="K8" s="21">
        <v>0</v>
      </c>
      <c r="L8" s="21">
        <v>0</v>
      </c>
      <c r="M8" s="21">
        <v>0</v>
      </c>
      <c r="N8" s="22"/>
      <c r="O8" s="21">
        <f t="shared" si="8"/>
        <v>1795249.2355781463</v>
      </c>
      <c r="P8" s="21">
        <f t="shared" si="2"/>
        <v>1738204.05</v>
      </c>
      <c r="Q8" s="21">
        <f t="shared" si="3"/>
        <v>57045.185578146251</v>
      </c>
      <c r="R8" s="23">
        <f t="shared" si="4"/>
        <v>1.0328184631592281</v>
      </c>
      <c r="S8" s="22"/>
      <c r="T8" s="21">
        <f t="shared" si="9"/>
        <v>1517873.7493398685</v>
      </c>
      <c r="U8" s="21">
        <f t="shared" si="5"/>
        <v>1738204.05</v>
      </c>
      <c r="V8" s="24">
        <f t="shared" si="6"/>
        <v>-220330.3006601315</v>
      </c>
      <c r="W8" s="25">
        <f t="shared" si="7"/>
        <v>0.87324255707485465</v>
      </c>
    </row>
    <row r="9" spans="1:23" x14ac:dyDescent="0.35">
      <c r="A9" s="20" t="s">
        <v>112</v>
      </c>
      <c r="B9" s="21">
        <v>3014289.7447810518</v>
      </c>
      <c r="C9" s="21">
        <v>3103965.1976174475</v>
      </c>
      <c r="D9" s="21">
        <v>319193.22263499722</v>
      </c>
      <c r="E9" s="21">
        <v>0</v>
      </c>
      <c r="F9" s="21">
        <v>0</v>
      </c>
      <c r="G9" s="21">
        <v>1382059.7469032935</v>
      </c>
      <c r="H9" s="22"/>
      <c r="I9" s="21">
        <v>596086.42000000004</v>
      </c>
      <c r="J9" s="21">
        <v>117431.66</v>
      </c>
      <c r="K9" s="21">
        <v>2803355.44</v>
      </c>
      <c r="L9" s="21">
        <v>148156.04</v>
      </c>
      <c r="M9" s="21">
        <v>1270222.2619999999</v>
      </c>
      <c r="N9" s="22"/>
      <c r="O9" s="21">
        <f t="shared" si="8"/>
        <v>7819507.9119367907</v>
      </c>
      <c r="P9" s="21">
        <f t="shared" si="2"/>
        <v>1983740.3419999999</v>
      </c>
      <c r="Q9" s="21">
        <f t="shared" si="3"/>
        <v>5835767.5699367905</v>
      </c>
      <c r="R9" s="23">
        <f t="shared" si="4"/>
        <v>3.9418001168707346</v>
      </c>
      <c r="S9" s="22"/>
      <c r="T9" s="21">
        <f t="shared" si="9"/>
        <v>6437448.1650334969</v>
      </c>
      <c r="U9" s="21">
        <f t="shared" si="5"/>
        <v>3665029.56</v>
      </c>
      <c r="V9" s="24">
        <f t="shared" si="6"/>
        <v>2772418.6050334969</v>
      </c>
      <c r="W9" s="25">
        <f t="shared" si="7"/>
        <v>1.7564519084079357</v>
      </c>
    </row>
    <row r="10" spans="1:23" x14ac:dyDescent="0.35">
      <c r="A10" s="20" t="s">
        <v>55</v>
      </c>
      <c r="B10" s="21">
        <v>1089805.6892183505</v>
      </c>
      <c r="C10" s="21">
        <v>365672.94224539475</v>
      </c>
      <c r="D10" s="21">
        <v>0</v>
      </c>
      <c r="E10" s="21">
        <v>0</v>
      </c>
      <c r="F10" s="21">
        <v>0</v>
      </c>
      <c r="G10" s="21">
        <v>379865.62761476613</v>
      </c>
      <c r="H10" s="22"/>
      <c r="I10" s="21">
        <v>1299623.58</v>
      </c>
      <c r="J10" s="21">
        <v>0</v>
      </c>
      <c r="K10" s="21">
        <v>395761.31</v>
      </c>
      <c r="L10" s="21">
        <v>0</v>
      </c>
      <c r="M10" s="21">
        <v>539274</v>
      </c>
      <c r="N10" s="22"/>
      <c r="O10" s="21">
        <f t="shared" si="8"/>
        <v>1835344.2590785113</v>
      </c>
      <c r="P10" s="21">
        <f t="shared" si="2"/>
        <v>1838897.58</v>
      </c>
      <c r="Q10" s="21">
        <f t="shared" si="3"/>
        <v>-3553.3209214888047</v>
      </c>
      <c r="R10" s="23">
        <f t="shared" si="4"/>
        <v>0.99806768959830339</v>
      </c>
      <c r="S10" s="22"/>
      <c r="T10" s="21">
        <f t="shared" si="9"/>
        <v>1455478.6314637451</v>
      </c>
      <c r="U10" s="21">
        <f t="shared" si="5"/>
        <v>1695384.8900000001</v>
      </c>
      <c r="V10" s="24">
        <f t="shared" si="6"/>
        <v>-239906.25853625499</v>
      </c>
      <c r="W10" s="25">
        <f t="shared" si="7"/>
        <v>0.85849451652464892</v>
      </c>
    </row>
    <row r="11" spans="1:23" x14ac:dyDescent="0.35">
      <c r="A11" s="20" t="s">
        <v>53</v>
      </c>
      <c r="B11" s="21">
        <v>975713.03845703788</v>
      </c>
      <c r="C11" s="21">
        <v>349073.66197908839</v>
      </c>
      <c r="D11" s="21">
        <v>173998.18820911297</v>
      </c>
      <c r="E11" s="21">
        <v>240926.08458477544</v>
      </c>
      <c r="F11" s="21">
        <v>14876.016438000001</v>
      </c>
      <c r="G11" s="21">
        <v>345741.74751869694</v>
      </c>
      <c r="H11" s="22"/>
      <c r="I11" s="21">
        <v>717569.72</v>
      </c>
      <c r="J11" s="21">
        <v>161780.04</v>
      </c>
      <c r="K11" s="21">
        <v>213128.35</v>
      </c>
      <c r="L11" s="21">
        <v>22840.82</v>
      </c>
      <c r="M11" s="21">
        <v>452355.36243800004</v>
      </c>
      <c r="N11" s="22"/>
      <c r="O11" s="21">
        <f t="shared" si="8"/>
        <v>2100328.7371867113</v>
      </c>
      <c r="P11" s="21">
        <f t="shared" si="2"/>
        <v>1331705.122438</v>
      </c>
      <c r="Q11" s="21">
        <f t="shared" si="3"/>
        <v>768623.61474871123</v>
      </c>
      <c r="R11" s="23">
        <f t="shared" si="4"/>
        <v>1.577172530012924</v>
      </c>
      <c r="S11" s="22"/>
      <c r="T11" s="21">
        <f t="shared" si="9"/>
        <v>1498784.8886452392</v>
      </c>
      <c r="U11" s="21">
        <f t="shared" si="5"/>
        <v>1115318.9300000002</v>
      </c>
      <c r="V11" s="24">
        <f t="shared" si="6"/>
        <v>383465.95864523901</v>
      </c>
      <c r="W11" s="25">
        <f t="shared" si="7"/>
        <v>1.3438173138917664</v>
      </c>
    </row>
    <row r="12" spans="1:23" ht="15" thickBot="1" x14ac:dyDescent="0.4">
      <c r="A12" s="26" t="s">
        <v>113</v>
      </c>
      <c r="B12" s="27">
        <v>398811.74488593347</v>
      </c>
      <c r="C12" s="27">
        <v>176238.24661125473</v>
      </c>
      <c r="D12" s="27">
        <v>82138.742558521582</v>
      </c>
      <c r="E12" s="27">
        <v>1175899.3206050151</v>
      </c>
      <c r="F12" s="27">
        <v>67948.709277083326</v>
      </c>
      <c r="G12" s="27">
        <v>139730.40107595437</v>
      </c>
      <c r="H12" s="22"/>
      <c r="I12" s="27">
        <v>588522.43000000005</v>
      </c>
      <c r="J12" s="27">
        <v>63978.33</v>
      </c>
      <c r="K12" s="27">
        <v>641089.19999999995</v>
      </c>
      <c r="L12" s="27">
        <v>96722.46</v>
      </c>
      <c r="M12" s="27">
        <v>144807.09758849998</v>
      </c>
      <c r="N12" s="22"/>
      <c r="O12" s="27">
        <f t="shared" si="8"/>
        <v>2040767.1650137627</v>
      </c>
      <c r="P12" s="27">
        <f t="shared" si="2"/>
        <v>797307.85758850002</v>
      </c>
      <c r="Q12" s="27">
        <f t="shared" si="3"/>
        <v>1243459.3074252626</v>
      </c>
      <c r="R12" s="28">
        <f t="shared" si="4"/>
        <v>2.5595723729428324</v>
      </c>
      <c r="S12" s="22"/>
      <c r="T12" s="27">
        <f t="shared" si="9"/>
        <v>657188.73405570979</v>
      </c>
      <c r="U12" s="27">
        <f t="shared" si="5"/>
        <v>1390312.42</v>
      </c>
      <c r="V12" s="33">
        <f t="shared" si="6"/>
        <v>-733123.68594429013</v>
      </c>
      <c r="W12" s="31">
        <f t="shared" si="7"/>
        <v>0.47269140705490487</v>
      </c>
    </row>
    <row r="13" spans="1:23" x14ac:dyDescent="0.35">
      <c r="A13" s="35" t="s">
        <v>60</v>
      </c>
      <c r="B13" s="36">
        <f>SUM(B14:B17)</f>
        <v>121735378.07811172</v>
      </c>
      <c r="C13" s="36">
        <f t="shared" ref="C13:G13" si="10">SUM(C14:C17)</f>
        <v>51899081.872153014</v>
      </c>
      <c r="D13" s="36">
        <f t="shared" si="10"/>
        <v>18971065.958423272</v>
      </c>
      <c r="E13" s="36">
        <f>SUM(E14:E17)</f>
        <v>291300.54637401446</v>
      </c>
      <c r="F13" s="36">
        <f t="shared" si="10"/>
        <v>19682718.88062169</v>
      </c>
      <c r="G13" s="36">
        <f t="shared" si="10"/>
        <v>47836979.698170654</v>
      </c>
      <c r="H13" s="11"/>
      <c r="I13" s="36">
        <f t="shared" ref="I13:M13" si="11">SUM(I14:I17)</f>
        <v>13597545.569999998</v>
      </c>
      <c r="J13" s="36">
        <f t="shared" si="11"/>
        <v>2534688.0499999998</v>
      </c>
      <c r="K13" s="36">
        <f t="shared" si="11"/>
        <v>32243461.419999998</v>
      </c>
      <c r="L13" s="36">
        <f t="shared" si="11"/>
        <v>3522442.29</v>
      </c>
      <c r="M13" s="36">
        <f t="shared" si="11"/>
        <v>88817240.31828624</v>
      </c>
      <c r="N13" s="11"/>
      <c r="O13" s="36">
        <f t="shared" si="8"/>
        <v>260416525.0338544</v>
      </c>
      <c r="P13" s="36">
        <f t="shared" si="2"/>
        <v>104949473.93828624</v>
      </c>
      <c r="Q13" s="36">
        <f t="shared" si="3"/>
        <v>155467051.09556815</v>
      </c>
      <c r="R13" s="37">
        <f t="shared" si="4"/>
        <v>2.4813514090312441</v>
      </c>
      <c r="S13" s="11"/>
      <c r="T13" s="36">
        <f t="shared" si="9"/>
        <v>192605525.90868801</v>
      </c>
      <c r="U13" s="36">
        <f t="shared" si="5"/>
        <v>51898137.329999991</v>
      </c>
      <c r="V13" s="36">
        <f t="shared" si="6"/>
        <v>140707388.57868803</v>
      </c>
      <c r="W13" s="37">
        <f t="shared" si="7"/>
        <v>3.7112223254562045</v>
      </c>
    </row>
    <row r="14" spans="1:23" x14ac:dyDescent="0.35">
      <c r="A14" s="20" t="s">
        <v>61</v>
      </c>
      <c r="B14" s="21">
        <v>106930152.81411281</v>
      </c>
      <c r="C14" s="21">
        <v>47360689.188959762</v>
      </c>
      <c r="D14" s="21">
        <v>3397846.2176406193</v>
      </c>
      <c r="E14" s="21">
        <v>291300.54637401446</v>
      </c>
      <c r="F14" s="21">
        <v>19609219.390762825</v>
      </c>
      <c r="G14" s="21">
        <v>41914100.567577116</v>
      </c>
      <c r="H14" s="22"/>
      <c r="I14" s="21">
        <v>9057749.6999999993</v>
      </c>
      <c r="J14" s="21">
        <v>1688368.94</v>
      </c>
      <c r="K14" s="21">
        <v>28153234.77</v>
      </c>
      <c r="L14" s="21">
        <v>1754754.63</v>
      </c>
      <c r="M14" s="21">
        <v>71918784.497857958</v>
      </c>
      <c r="N14" s="22"/>
      <c r="O14" s="21">
        <f t="shared" si="8"/>
        <v>219503308.72542715</v>
      </c>
      <c r="P14" s="21">
        <f t="shared" si="2"/>
        <v>82664903.137857959</v>
      </c>
      <c r="Q14" s="21">
        <f t="shared" si="3"/>
        <v>136838405.58756918</v>
      </c>
      <c r="R14" s="23">
        <f t="shared" si="4"/>
        <v>2.6553386067527058</v>
      </c>
      <c r="S14" s="22"/>
      <c r="T14" s="21">
        <f t="shared" si="9"/>
        <v>157688688.22071317</v>
      </c>
      <c r="U14" s="21">
        <f t="shared" si="5"/>
        <v>40654108.039999999</v>
      </c>
      <c r="V14" s="24">
        <f t="shared" si="6"/>
        <v>117034580.18071318</v>
      </c>
      <c r="W14" s="25">
        <f t="shared" si="7"/>
        <v>3.8787885363408203</v>
      </c>
    </row>
    <row r="15" spans="1:23" x14ac:dyDescent="0.35">
      <c r="A15" s="20" t="s">
        <v>62</v>
      </c>
      <c r="B15" s="21">
        <v>12644045.06538339</v>
      </c>
      <c r="C15" s="21">
        <v>4386061.443045022</v>
      </c>
      <c r="D15" s="21">
        <v>14928033.319061765</v>
      </c>
      <c r="E15" s="21">
        <v>0</v>
      </c>
      <c r="F15" s="21">
        <v>0</v>
      </c>
      <c r="G15" s="21">
        <v>5143076.5551929744</v>
      </c>
      <c r="H15" s="22"/>
      <c r="I15" s="21">
        <v>3644528.88</v>
      </c>
      <c r="J15" s="21">
        <v>688644.2</v>
      </c>
      <c r="K15" s="21">
        <v>3616324.9</v>
      </c>
      <c r="L15" s="21">
        <v>1514443.42</v>
      </c>
      <c r="M15" s="21">
        <v>14890466.307708284</v>
      </c>
      <c r="N15" s="22"/>
      <c r="O15" s="21">
        <f t="shared" si="8"/>
        <v>37101216.38268315</v>
      </c>
      <c r="P15" s="21">
        <f t="shared" si="2"/>
        <v>19223639.387708284</v>
      </c>
      <c r="Q15" s="21">
        <f t="shared" si="3"/>
        <v>17877576.994974867</v>
      </c>
      <c r="R15" s="23">
        <f t="shared" si="4"/>
        <v>1.9299787950873601</v>
      </c>
      <c r="S15" s="22"/>
      <c r="T15" s="21">
        <f t="shared" si="9"/>
        <v>31958139.827490173</v>
      </c>
      <c r="U15" s="21">
        <f t="shared" si="5"/>
        <v>9463941.4000000004</v>
      </c>
      <c r="V15" s="24">
        <f t="shared" si="6"/>
        <v>22494198.427490175</v>
      </c>
      <c r="W15" s="25">
        <f t="shared" si="7"/>
        <v>3.3768319642691544</v>
      </c>
    </row>
    <row r="16" spans="1:23" x14ac:dyDescent="0.35">
      <c r="A16" s="20" t="s">
        <v>63</v>
      </c>
      <c r="B16" s="21">
        <v>1404458.3390022381</v>
      </c>
      <c r="C16" s="21">
        <v>152331.24014823476</v>
      </c>
      <c r="D16" s="21">
        <v>645186.42172088858</v>
      </c>
      <c r="E16" s="21">
        <v>0</v>
      </c>
      <c r="F16" s="21">
        <v>0</v>
      </c>
      <c r="G16" s="21">
        <v>488233.3743993002</v>
      </c>
      <c r="H16" s="22"/>
      <c r="I16" s="21">
        <v>836970.28</v>
      </c>
      <c r="J16" s="21">
        <v>157674.91</v>
      </c>
      <c r="K16" s="21">
        <v>243744.8</v>
      </c>
      <c r="L16" s="21">
        <v>253244.24</v>
      </c>
      <c r="M16" s="21">
        <v>1046302.8527200001</v>
      </c>
      <c r="N16" s="22"/>
      <c r="O16" s="21">
        <f t="shared" si="8"/>
        <v>2690209.3752706614</v>
      </c>
      <c r="P16" s="21">
        <f t="shared" si="2"/>
        <v>2040948.0427200003</v>
      </c>
      <c r="Q16" s="21">
        <f t="shared" si="3"/>
        <v>649261.33255066117</v>
      </c>
      <c r="R16" s="23">
        <f t="shared" si="4"/>
        <v>1.3181175213482561</v>
      </c>
      <c r="S16" s="22"/>
      <c r="T16" s="21">
        <f t="shared" si="9"/>
        <v>2201976.0008713612</v>
      </c>
      <c r="U16" s="21">
        <f t="shared" si="5"/>
        <v>1491634.23</v>
      </c>
      <c r="V16" s="24">
        <f t="shared" si="6"/>
        <v>710341.77087136125</v>
      </c>
      <c r="W16" s="25">
        <f t="shared" si="7"/>
        <v>1.4762171292297048</v>
      </c>
    </row>
    <row r="17" spans="1:23" ht="15" thickBot="1" x14ac:dyDescent="0.4">
      <c r="A17" s="26" t="s">
        <v>64</v>
      </c>
      <c r="B17" s="27">
        <v>756721.85961328365</v>
      </c>
      <c r="C17" s="27">
        <v>0</v>
      </c>
      <c r="D17" s="27">
        <v>0</v>
      </c>
      <c r="E17" s="27">
        <v>0</v>
      </c>
      <c r="F17" s="21">
        <v>73499.489858864225</v>
      </c>
      <c r="G17" s="27">
        <v>291569.20100126107</v>
      </c>
      <c r="H17" s="22"/>
      <c r="I17" s="27">
        <v>58296.71</v>
      </c>
      <c r="J17" s="27">
        <v>0</v>
      </c>
      <c r="K17" s="27">
        <v>230156.95</v>
      </c>
      <c r="L17" s="27">
        <v>0</v>
      </c>
      <c r="M17" s="27">
        <v>961686.65999999992</v>
      </c>
      <c r="N17" s="22"/>
      <c r="O17" s="27">
        <f t="shared" si="8"/>
        <v>1121790.550473409</v>
      </c>
      <c r="P17" s="27">
        <f t="shared" si="2"/>
        <v>1019983.3699999999</v>
      </c>
      <c r="Q17" s="27">
        <f t="shared" si="3"/>
        <v>101807.18047340913</v>
      </c>
      <c r="R17" s="28">
        <f t="shared" si="4"/>
        <v>1.0998125885850563</v>
      </c>
      <c r="S17" s="22"/>
      <c r="T17" s="27">
        <f t="shared" si="9"/>
        <v>756721.85961328365</v>
      </c>
      <c r="U17" s="27">
        <f t="shared" si="5"/>
        <v>288453.66000000003</v>
      </c>
      <c r="V17" s="33">
        <f t="shared" si="6"/>
        <v>468268.19961328362</v>
      </c>
      <c r="W17" s="31">
        <f t="shared" si="7"/>
        <v>2.6233740962526997</v>
      </c>
    </row>
    <row r="18" spans="1:23" x14ac:dyDescent="0.35">
      <c r="A18" s="35" t="s">
        <v>66</v>
      </c>
      <c r="B18" s="36">
        <f>B19+B20+B21+B22</f>
        <v>0</v>
      </c>
      <c r="C18" s="36">
        <f t="shared" ref="C18:M18" si="12">C19+C20+C21+C22</f>
        <v>0</v>
      </c>
      <c r="D18" s="36">
        <f t="shared" si="12"/>
        <v>0</v>
      </c>
      <c r="E18" s="36">
        <f>E19+E20+E21+E22</f>
        <v>0</v>
      </c>
      <c r="F18" s="36">
        <f t="shared" si="12"/>
        <v>0</v>
      </c>
      <c r="G18" s="36">
        <f t="shared" si="12"/>
        <v>0</v>
      </c>
      <c r="H18" s="11"/>
      <c r="I18" s="36">
        <f t="shared" si="12"/>
        <v>9408817.9900000002</v>
      </c>
      <c r="J18" s="36">
        <f t="shared" si="12"/>
        <v>811010.04000000015</v>
      </c>
      <c r="K18" s="36">
        <f t="shared" si="12"/>
        <v>0</v>
      </c>
      <c r="L18" s="36">
        <f t="shared" si="12"/>
        <v>0</v>
      </c>
      <c r="M18" s="36">
        <f t="shared" si="12"/>
        <v>0</v>
      </c>
      <c r="N18" s="11"/>
      <c r="O18" s="36">
        <f t="shared" si="8"/>
        <v>0</v>
      </c>
      <c r="P18" s="36">
        <f t="shared" si="2"/>
        <v>10219828.030000001</v>
      </c>
      <c r="Q18" s="36">
        <f t="shared" si="3"/>
        <v>-10219828.030000001</v>
      </c>
      <c r="R18" s="40" t="s">
        <v>59</v>
      </c>
      <c r="S18" s="11"/>
      <c r="T18" s="36">
        <f t="shared" si="9"/>
        <v>0</v>
      </c>
      <c r="U18" s="36"/>
      <c r="V18" s="36"/>
      <c r="W18" s="37"/>
    </row>
    <row r="19" spans="1:23" x14ac:dyDescent="0.35">
      <c r="A19" s="20" t="s">
        <v>67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2"/>
      <c r="I19" s="21">
        <v>2969483.88</v>
      </c>
      <c r="J19" s="21">
        <v>0</v>
      </c>
      <c r="K19" s="21">
        <v>0</v>
      </c>
      <c r="L19" s="21">
        <v>0</v>
      </c>
      <c r="M19" s="21">
        <v>0</v>
      </c>
      <c r="N19" s="22"/>
      <c r="O19" s="65">
        <f t="shared" si="8"/>
        <v>0</v>
      </c>
      <c r="P19" s="21">
        <f t="shared" si="2"/>
        <v>2969483.88</v>
      </c>
      <c r="Q19" s="21">
        <f t="shared" si="3"/>
        <v>-2969483.88</v>
      </c>
      <c r="R19" s="32" t="s">
        <v>59</v>
      </c>
      <c r="S19" s="22"/>
      <c r="T19" s="21">
        <f t="shared" si="9"/>
        <v>0</v>
      </c>
      <c r="U19" s="21">
        <f t="shared" ref="U19:U22" si="13">I19+J19+K19+L19</f>
        <v>2969483.88</v>
      </c>
      <c r="V19" s="24">
        <f t="shared" ref="V19:V22" si="14">T19-U19</f>
        <v>-2969483.88</v>
      </c>
      <c r="W19" s="32" t="s">
        <v>59</v>
      </c>
    </row>
    <row r="20" spans="1:23" x14ac:dyDescent="0.35">
      <c r="A20" s="20" t="s">
        <v>68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2"/>
      <c r="I20" s="21">
        <v>2187434.1800000002</v>
      </c>
      <c r="J20" s="21">
        <v>371851.65</v>
      </c>
      <c r="K20" s="21">
        <v>0</v>
      </c>
      <c r="L20" s="21">
        <v>0</v>
      </c>
      <c r="M20" s="21">
        <v>0</v>
      </c>
      <c r="N20" s="22"/>
      <c r="O20" s="65">
        <f t="shared" si="8"/>
        <v>0</v>
      </c>
      <c r="P20" s="21">
        <f t="shared" si="2"/>
        <v>2559285.83</v>
      </c>
      <c r="Q20" s="21">
        <f t="shared" si="3"/>
        <v>-2559285.83</v>
      </c>
      <c r="R20" s="32" t="s">
        <v>59</v>
      </c>
      <c r="S20" s="22"/>
      <c r="T20" s="21">
        <f t="shared" si="9"/>
        <v>0</v>
      </c>
      <c r="U20" s="21">
        <f t="shared" si="13"/>
        <v>2559285.83</v>
      </c>
      <c r="V20" s="24">
        <f t="shared" si="14"/>
        <v>-2559285.83</v>
      </c>
      <c r="W20" s="32" t="s">
        <v>59</v>
      </c>
    </row>
    <row r="21" spans="1:23" x14ac:dyDescent="0.35">
      <c r="A21" s="20" t="s">
        <v>69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2"/>
      <c r="I21" s="21">
        <v>1342135.0499999998</v>
      </c>
      <c r="J21" s="21">
        <v>215435.7</v>
      </c>
      <c r="K21" s="21">
        <v>0</v>
      </c>
      <c r="L21" s="21">
        <v>0</v>
      </c>
      <c r="M21" s="21">
        <v>0</v>
      </c>
      <c r="N21" s="22"/>
      <c r="O21" s="65">
        <f t="shared" si="8"/>
        <v>0</v>
      </c>
      <c r="P21" s="21">
        <f t="shared" si="2"/>
        <v>1557570.7499999998</v>
      </c>
      <c r="Q21" s="21">
        <f t="shared" si="3"/>
        <v>-1557570.7499999998</v>
      </c>
      <c r="R21" s="32" t="s">
        <v>59</v>
      </c>
      <c r="S21" s="22"/>
      <c r="T21" s="21">
        <f t="shared" si="9"/>
        <v>0</v>
      </c>
      <c r="U21" s="21">
        <f t="shared" si="13"/>
        <v>1557570.7499999998</v>
      </c>
      <c r="V21" s="24">
        <f t="shared" si="14"/>
        <v>-1557570.7499999998</v>
      </c>
      <c r="W21" s="32" t="s">
        <v>59</v>
      </c>
    </row>
    <row r="22" spans="1:23" ht="15" thickBot="1" x14ac:dyDescent="0.4">
      <c r="A22" s="26" t="s">
        <v>70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2"/>
      <c r="I22" s="27">
        <v>2909764.88</v>
      </c>
      <c r="J22" s="27">
        <v>223722.69000000003</v>
      </c>
      <c r="K22" s="27">
        <v>0</v>
      </c>
      <c r="L22" s="27">
        <v>0</v>
      </c>
      <c r="M22" s="27">
        <v>0</v>
      </c>
      <c r="N22" s="22"/>
      <c r="O22" s="66">
        <f t="shared" si="8"/>
        <v>0</v>
      </c>
      <c r="P22" s="27">
        <f t="shared" si="2"/>
        <v>3133487.57</v>
      </c>
      <c r="Q22" s="27">
        <f t="shared" si="3"/>
        <v>-3133487.57</v>
      </c>
      <c r="R22" s="42" t="s">
        <v>59</v>
      </c>
      <c r="S22" s="22"/>
      <c r="T22" s="27">
        <f t="shared" si="9"/>
        <v>0</v>
      </c>
      <c r="U22" s="27">
        <f t="shared" si="13"/>
        <v>3133487.57</v>
      </c>
      <c r="V22" s="33">
        <f t="shared" si="14"/>
        <v>-3133487.57</v>
      </c>
      <c r="W22" s="42" t="s">
        <v>59</v>
      </c>
    </row>
    <row r="23" spans="1:23" x14ac:dyDescent="0.35">
      <c r="A23" s="43" t="s">
        <v>118</v>
      </c>
      <c r="B23" s="55">
        <f>B4+B13+B18</f>
        <v>172405890.62026989</v>
      </c>
      <c r="C23" s="55">
        <f t="shared" ref="C23:M23" si="15">C4+C13+C18</f>
        <v>77396618.98312144</v>
      </c>
      <c r="D23" s="55">
        <f t="shared" si="15"/>
        <v>26583215.554043386</v>
      </c>
      <c r="E23" s="55">
        <f>E4+E13+E18</f>
        <v>5483250.155130404</v>
      </c>
      <c r="F23" s="55">
        <f t="shared" si="15"/>
        <v>28193212.511367843</v>
      </c>
      <c r="G23" s="67">
        <f t="shared" si="15"/>
        <v>67132935.454704434</v>
      </c>
      <c r="H23" s="44"/>
      <c r="I23" s="56">
        <f t="shared" si="15"/>
        <v>38543186.289999999</v>
      </c>
      <c r="J23" s="55">
        <f t="shared" si="15"/>
        <v>5675516.75</v>
      </c>
      <c r="K23" s="55">
        <f t="shared" si="15"/>
        <v>61153489.259999998</v>
      </c>
      <c r="L23" s="55">
        <f t="shared" si="15"/>
        <v>10295602.960000001</v>
      </c>
      <c r="M23" s="55">
        <f t="shared" si="15"/>
        <v>105228625.15068947</v>
      </c>
      <c r="N23" s="44"/>
      <c r="O23" s="55">
        <f t="shared" si="8"/>
        <v>377195123.27863741</v>
      </c>
      <c r="P23" s="55">
        <f>I23+J23+M23</f>
        <v>149447328.19068947</v>
      </c>
      <c r="Q23" s="55">
        <f>O23-P23</f>
        <v>227747795.08794793</v>
      </c>
      <c r="R23" s="45">
        <f>O23/P23</f>
        <v>2.5239335346119391</v>
      </c>
      <c r="S23" s="44"/>
      <c r="T23" s="55">
        <f t="shared" si="9"/>
        <v>276385725.15743476</v>
      </c>
      <c r="U23" s="55">
        <f>I23+J23+K23+L23</f>
        <v>115667795.25999999</v>
      </c>
      <c r="V23" s="55">
        <f>T23-U23</f>
        <v>160717929.89743477</v>
      </c>
      <c r="W23" s="45">
        <f>T23/U23</f>
        <v>2.3894786317675578</v>
      </c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3896-7B92-4BA9-AC60-0C207BF94DD5}">
  <dimension ref="A1:W15"/>
  <sheetViews>
    <sheetView tabSelected="1" workbookViewId="0">
      <selection activeCell="F17" sqref="F17"/>
    </sheetView>
  </sheetViews>
  <sheetFormatPr defaultRowHeight="14.5" x14ac:dyDescent="0.35"/>
  <cols>
    <col min="1" max="1" width="19.54296875" bestFit="1" customWidth="1"/>
    <col min="2" max="2" width="18.81640625" bestFit="1" customWidth="1"/>
    <col min="3" max="3" width="15.453125" bestFit="1" customWidth="1"/>
    <col min="4" max="5" width="14.1796875" bestFit="1" customWidth="1"/>
    <col min="6" max="7" width="15.453125" bestFit="1" customWidth="1"/>
    <col min="8" max="8" width="2.7265625" customWidth="1"/>
    <col min="9" max="9" width="17.453125" bestFit="1" customWidth="1"/>
    <col min="10" max="10" width="14.1796875" bestFit="1" customWidth="1"/>
    <col min="11" max="11" width="15.453125" bestFit="1" customWidth="1"/>
    <col min="12" max="12" width="14.1796875" bestFit="1" customWidth="1"/>
    <col min="13" max="13" width="15.453125" bestFit="1" customWidth="1"/>
    <col min="14" max="14" width="2.7265625" customWidth="1"/>
    <col min="15" max="15" width="18.81640625" bestFit="1" customWidth="1"/>
    <col min="16" max="16" width="15.453125" bestFit="1" customWidth="1"/>
    <col min="17" max="17" width="17.26953125" bestFit="1" customWidth="1"/>
    <col min="18" max="18" width="9.54296875" bestFit="1" customWidth="1"/>
    <col min="19" max="19" width="2.7265625" customWidth="1"/>
    <col min="20" max="20" width="18.81640625" bestFit="1" customWidth="1"/>
    <col min="21" max="21" width="15.453125" bestFit="1" customWidth="1"/>
    <col min="22" max="22" width="18.7265625" bestFit="1" customWidth="1"/>
    <col min="23" max="23" width="12.81640625" bestFit="1" customWidth="1"/>
  </cols>
  <sheetData>
    <row r="1" spans="1:23" x14ac:dyDescent="0.35">
      <c r="A1" s="105" t="s">
        <v>119</v>
      </c>
      <c r="B1" s="107" t="s">
        <v>12</v>
      </c>
      <c r="C1" s="108"/>
      <c r="D1" s="108"/>
      <c r="E1" s="108"/>
      <c r="F1" s="108"/>
      <c r="G1" s="109"/>
      <c r="H1" s="75"/>
      <c r="I1" s="107" t="s">
        <v>13</v>
      </c>
      <c r="J1" s="108"/>
      <c r="K1" s="108"/>
      <c r="L1" s="108"/>
      <c r="M1" s="109"/>
      <c r="N1" s="75"/>
      <c r="O1" s="107" t="s">
        <v>14</v>
      </c>
      <c r="P1" s="108"/>
      <c r="Q1" s="108"/>
      <c r="R1" s="109"/>
      <c r="S1" s="75"/>
      <c r="T1" s="107" t="s">
        <v>15</v>
      </c>
      <c r="U1" s="108"/>
      <c r="V1" s="108"/>
      <c r="W1" s="110"/>
    </row>
    <row r="2" spans="1:23" ht="27" x14ac:dyDescent="0.35">
      <c r="A2" s="106"/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1"/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1"/>
      <c r="O2" s="10" t="s">
        <v>27</v>
      </c>
      <c r="P2" s="10" t="s">
        <v>28</v>
      </c>
      <c r="Q2" s="10" t="s">
        <v>29</v>
      </c>
      <c r="R2" s="10" t="s">
        <v>30</v>
      </c>
      <c r="S2" s="11"/>
      <c r="T2" s="13" t="s">
        <v>31</v>
      </c>
      <c r="U2" s="13" t="s">
        <v>32</v>
      </c>
      <c r="V2" s="13" t="s">
        <v>33</v>
      </c>
      <c r="W2" s="76" t="s">
        <v>34</v>
      </c>
    </row>
    <row r="3" spans="1:23" x14ac:dyDescent="0.35">
      <c r="A3" s="77" t="s">
        <v>35</v>
      </c>
      <c r="B3" s="46" t="s">
        <v>36</v>
      </c>
      <c r="C3" s="46" t="s">
        <v>37</v>
      </c>
      <c r="D3" s="46" t="s">
        <v>38</v>
      </c>
      <c r="E3" s="46" t="s">
        <v>39</v>
      </c>
      <c r="F3" s="46" t="s">
        <v>72</v>
      </c>
      <c r="G3" s="46" t="s">
        <v>40</v>
      </c>
      <c r="H3" s="11"/>
      <c r="I3" s="46" t="s">
        <v>79</v>
      </c>
      <c r="J3" s="46" t="s">
        <v>41</v>
      </c>
      <c r="K3" s="46" t="s">
        <v>42</v>
      </c>
      <c r="L3" s="46" t="s">
        <v>43</v>
      </c>
      <c r="M3" s="46" t="s">
        <v>44</v>
      </c>
      <c r="N3" s="11"/>
      <c r="O3" s="46" t="s">
        <v>80</v>
      </c>
      <c r="P3" s="46" t="s">
        <v>81</v>
      </c>
      <c r="Q3" s="46" t="s">
        <v>82</v>
      </c>
      <c r="R3" s="46" t="s">
        <v>83</v>
      </c>
      <c r="S3" s="11"/>
      <c r="T3" s="46" t="s">
        <v>84</v>
      </c>
      <c r="U3" s="46" t="s">
        <v>85</v>
      </c>
      <c r="V3" s="46" t="s">
        <v>86</v>
      </c>
      <c r="W3" s="78" t="s">
        <v>87</v>
      </c>
    </row>
    <row r="4" spans="1:23" s="91" customFormat="1" ht="13.5" x14ac:dyDescent="0.35">
      <c r="A4" s="94">
        <v>2018</v>
      </c>
      <c r="B4" s="96">
        <f>'SAG Summary - EE Portfolio ''18'!B23</f>
        <v>172405890.62026989</v>
      </c>
      <c r="C4" s="96">
        <f>'SAG Summary - EE Portfolio ''18'!C23</f>
        <v>77396618.98312144</v>
      </c>
      <c r="D4" s="96">
        <f>'SAG Summary - EE Portfolio ''18'!D23</f>
        <v>26583215.554043386</v>
      </c>
      <c r="E4" s="96">
        <f>'SAG Summary - EE Portfolio ''18'!E23</f>
        <v>5483250.155130404</v>
      </c>
      <c r="F4" s="96">
        <f>'SAG Summary - EE Portfolio ''18'!F23</f>
        <v>28193212.511367843</v>
      </c>
      <c r="G4" s="96">
        <f>'SAG Summary - EE Portfolio ''18'!G23</f>
        <v>67132935.454704434</v>
      </c>
      <c r="H4" s="48"/>
      <c r="I4" s="96">
        <f>'SAG Summary - EE Portfolio ''18'!I23</f>
        <v>38543186.289999999</v>
      </c>
      <c r="J4" s="96">
        <f>'SAG Summary - EE Portfolio ''18'!J23</f>
        <v>5675516.75</v>
      </c>
      <c r="K4" s="96">
        <f>'SAG Summary - EE Portfolio ''18'!K23</f>
        <v>61153489.259999998</v>
      </c>
      <c r="L4" s="96">
        <f>'SAG Summary - EE Portfolio ''18'!L23</f>
        <v>10295602.960000001</v>
      </c>
      <c r="M4" s="96">
        <f>'SAG Summary - EE Portfolio ''18'!M23</f>
        <v>105228625.15068947</v>
      </c>
      <c r="N4" s="48"/>
      <c r="O4" s="96">
        <f>'SAG Summary - EE Portfolio ''18'!O23</f>
        <v>377195123.27863741</v>
      </c>
      <c r="P4" s="96">
        <f>'SAG Summary - EE Portfolio ''18'!P23</f>
        <v>149447328.19068947</v>
      </c>
      <c r="Q4" s="96">
        <f>'SAG Summary - EE Portfolio ''18'!Q23</f>
        <v>227747795.08794793</v>
      </c>
      <c r="R4" s="17">
        <f>'SAG Summary - EE Portfolio ''18'!R23</f>
        <v>2.5239335346119391</v>
      </c>
      <c r="S4" s="48"/>
      <c r="T4" s="96">
        <f>'SAG Summary - EE Portfolio ''18'!T23</f>
        <v>276385725.15743476</v>
      </c>
      <c r="U4" s="96">
        <f>'SAG Summary - EE Portfolio ''18'!U23</f>
        <v>115667795.25999999</v>
      </c>
      <c r="V4" s="96">
        <f>'SAG Summary - EE Portfolio ''18'!V23</f>
        <v>160717929.89743477</v>
      </c>
      <c r="W4" s="17">
        <f>'SAG Summary - EE Portfolio ''18'!W23</f>
        <v>2.3894786317675578</v>
      </c>
    </row>
    <row r="5" spans="1:23" s="91" customFormat="1" ht="13.5" x14ac:dyDescent="0.35">
      <c r="A5" s="94">
        <v>2019</v>
      </c>
      <c r="B5" s="96">
        <f>'SAG Summary - EE Portfolio ''19'!B30</f>
        <v>145431762.64046922</v>
      </c>
      <c r="C5" s="96">
        <f>'SAG Summary - EE Portfolio ''19'!C30</f>
        <v>83252229.534852937</v>
      </c>
      <c r="D5" s="96">
        <f>'SAG Summary - EE Portfolio ''19'!D30</f>
        <v>17801022.441772792</v>
      </c>
      <c r="E5" s="96">
        <f>'SAG Summary - EE Portfolio ''19'!E30</f>
        <v>5748168.9655172592</v>
      </c>
      <c r="F5" s="96">
        <f>'SAG Summary - EE Portfolio ''19'!F30</f>
        <v>47236594.515468419</v>
      </c>
      <c r="G5" s="96">
        <f>'SAG Summary - EE Portfolio ''19'!G30</f>
        <v>60954898.462027207</v>
      </c>
      <c r="H5" s="48"/>
      <c r="I5" s="96">
        <f>'SAG Summary - EE Portfolio ''19'!I30</f>
        <v>35307289.359999999</v>
      </c>
      <c r="J5" s="96">
        <f>'SAG Summary - EE Portfolio ''19'!J30</f>
        <v>4884594.5999999996</v>
      </c>
      <c r="K5" s="96">
        <f>'SAG Summary - EE Portfolio ''19'!K30</f>
        <v>60528058.019999996</v>
      </c>
      <c r="L5" s="96">
        <f>'SAG Summary - EE Portfolio ''19'!L30</f>
        <v>10086935.689999999</v>
      </c>
      <c r="M5" s="96">
        <f>'SAG Summary - EE Portfolio ''19'!M30</f>
        <v>124342717.31205052</v>
      </c>
      <c r="N5" s="48"/>
      <c r="O5" s="96">
        <f>'SAG Summary - EE Portfolio ''19'!O30</f>
        <v>360424676.56010783</v>
      </c>
      <c r="P5" s="96">
        <f>'SAG Summary - EE Portfolio ''19'!P30</f>
        <v>164534601.27205053</v>
      </c>
      <c r="Q5" s="96">
        <f>'SAG Summary - EE Portfolio ''19'!Q30</f>
        <v>195890075.2880573</v>
      </c>
      <c r="R5" s="17">
        <f>'SAG Summary - EE Portfolio ''19'!R30</f>
        <v>2.1905706992546929</v>
      </c>
      <c r="S5" s="48"/>
      <c r="T5" s="96">
        <f>'SAG Summary - EE Portfolio ''19'!T30</f>
        <v>246485014.61709496</v>
      </c>
      <c r="U5" s="96">
        <f>'SAG Summary - EE Portfolio ''19'!U30</f>
        <v>110806877.66999999</v>
      </c>
      <c r="V5" s="96">
        <f>'SAG Summary - EE Portfolio ''19'!V30</f>
        <v>135678136.94709498</v>
      </c>
      <c r="W5" s="17">
        <f>'SAG Summary - EE Portfolio ''19'!W30</f>
        <v>2.2244559164564266</v>
      </c>
    </row>
    <row r="6" spans="1:23" s="91" customFormat="1" ht="13.5" x14ac:dyDescent="0.35">
      <c r="A6" s="94">
        <v>2020</v>
      </c>
      <c r="B6" s="96">
        <f>'SAG Summary - EE Portfolio ''20'!B31</f>
        <v>192613371.65167245</v>
      </c>
      <c r="C6" s="96">
        <f>'SAG Summary - EE Portfolio ''20'!C31</f>
        <v>108243829.20689905</v>
      </c>
      <c r="D6" s="96">
        <f>'SAG Summary - EE Portfolio ''20'!D31</f>
        <v>21074670.088966332</v>
      </c>
      <c r="E6" s="96">
        <f>'SAG Summary - EE Portfolio ''20'!E31</f>
        <v>7666715.4032012122</v>
      </c>
      <c r="F6" s="96">
        <f>'SAG Summary - EE Portfolio ''20'!F31</f>
        <v>80861538.457810774</v>
      </c>
      <c r="G6" s="96">
        <f>'SAG Summary - EE Portfolio ''20'!G31</f>
        <v>83427354.777304932</v>
      </c>
      <c r="H6" s="48"/>
      <c r="I6" s="96">
        <f>'SAG Summary - EE Portfolio ''20'!I31</f>
        <v>42992227.966275997</v>
      </c>
      <c r="J6" s="96">
        <f>'SAG Summary - EE Portfolio ''20'!J31</f>
        <v>5540603.6891879998</v>
      </c>
      <c r="K6" s="96">
        <f>'SAG Summary - EE Portfolio ''20'!K31</f>
        <v>55248101.592999995</v>
      </c>
      <c r="L6" s="96">
        <f>'SAG Summary - EE Portfolio ''20'!L31</f>
        <v>9366276.0500000007</v>
      </c>
      <c r="M6" s="96">
        <f>'SAG Summary - EE Portfolio ''20'!M31</f>
        <v>78625836.702622116</v>
      </c>
      <c r="N6" s="48"/>
      <c r="O6" s="96">
        <f>'SAG Summary - EE Portfolio ''20'!O31</f>
        <v>493887479.58585477</v>
      </c>
      <c r="P6" s="96">
        <f>'SAG Summary - EE Portfolio ''20'!P31</f>
        <v>127158668.35808611</v>
      </c>
      <c r="Q6" s="96">
        <f>'SAG Summary - EE Portfolio ''20'!Q31</f>
        <v>366728811.22776866</v>
      </c>
      <c r="R6" s="17">
        <f>'SAG Summary - EE Portfolio ''20'!R31</f>
        <v>3.8840252572875276</v>
      </c>
      <c r="S6" s="48"/>
      <c r="T6" s="96">
        <f>'SAG Summary - EE Portfolio ''20'!T31</f>
        <v>321931870.94753784</v>
      </c>
      <c r="U6" s="96">
        <f>'SAG Summary - EE Portfolio ''20'!U31</f>
        <v>113147209.29846399</v>
      </c>
      <c r="V6" s="96">
        <f>'SAG Summary - EE Portfolio ''20'!V31</f>
        <v>208784661.64907384</v>
      </c>
      <c r="W6" s="17">
        <f>'SAG Summary - EE Portfolio ''20'!W31</f>
        <v>2.8452479998718641</v>
      </c>
    </row>
    <row r="7" spans="1:23" s="91" customFormat="1" ht="13.5" x14ac:dyDescent="0.35">
      <c r="A7" s="94">
        <v>2021</v>
      </c>
      <c r="B7" s="96">
        <f>'SAG Summary - EE Portfolio ''21'!B33</f>
        <v>194406345.82373637</v>
      </c>
      <c r="C7" s="96">
        <f>'SAG Summary - EE Portfolio ''21'!C33</f>
        <v>111834960.52773575</v>
      </c>
      <c r="D7" s="96">
        <f>'SAG Summary - EE Portfolio ''21'!D33</f>
        <v>13576933.592085531</v>
      </c>
      <c r="E7" s="96">
        <f>'SAG Summary - EE Portfolio ''21'!E33</f>
        <v>11427276.559890034</v>
      </c>
      <c r="F7" s="96">
        <f>'SAG Summary - EE Portfolio ''21'!F33</f>
        <v>50699153.014210835</v>
      </c>
      <c r="G7" s="96">
        <f>'SAG Summary - EE Portfolio ''21'!G33</f>
        <v>92096403.84440662</v>
      </c>
      <c r="H7" s="48"/>
      <c r="I7" s="96">
        <f>'SAG Summary - EE Portfolio ''21'!I33</f>
        <v>43933829.089225769</v>
      </c>
      <c r="J7" s="96">
        <f>'SAG Summary - EE Portfolio ''21'!J33</f>
        <v>6120680.7099869028</v>
      </c>
      <c r="K7" s="96">
        <f>'SAG Summary - EE Portfolio ''21'!K33</f>
        <v>55346952.173500001</v>
      </c>
      <c r="L7" s="96">
        <f>'SAG Summary - EE Portfolio ''21'!L33</f>
        <v>8844279.0958000012</v>
      </c>
      <c r="M7" s="96">
        <f>'SAG Summary - EE Portfolio ''21'!M33</f>
        <v>106073945.71385415</v>
      </c>
      <c r="N7" s="48"/>
      <c r="O7" s="96">
        <f>'SAG Summary - EE Portfolio ''21'!O33</f>
        <v>474041073.36206514</v>
      </c>
      <c r="P7" s="96">
        <f>'SAG Summary - EE Portfolio ''21'!P33</f>
        <v>156128455.51306683</v>
      </c>
      <c r="Q7" s="96">
        <f>'SAG Summary - EE Portfolio ''21'!Q33</f>
        <v>317912617.84899831</v>
      </c>
      <c r="R7" s="17">
        <f>'SAG Summary - EE Portfolio ''21'!R33</f>
        <v>3.0362247023086146</v>
      </c>
      <c r="S7" s="48"/>
      <c r="T7" s="96">
        <f>'SAG Summary - EE Portfolio ''21'!T33</f>
        <v>319818239.94355768</v>
      </c>
      <c r="U7" s="96">
        <f>'SAG Summary - EE Portfolio ''21'!U33</f>
        <v>114245741.06851266</v>
      </c>
      <c r="V7" s="96">
        <f>'SAG Summary - EE Portfolio ''21'!V33</f>
        <v>205572498.875045</v>
      </c>
      <c r="W7" s="17">
        <f>'SAG Summary - EE Portfolio ''21'!W33</f>
        <v>2.7993887295261546</v>
      </c>
    </row>
    <row r="8" spans="1:23" s="91" customFormat="1" ht="13.5" x14ac:dyDescent="0.35">
      <c r="A8" s="79"/>
      <c r="B8" s="87"/>
      <c r="C8" s="87"/>
      <c r="D8" s="87"/>
      <c r="E8" s="87"/>
      <c r="F8" s="87"/>
      <c r="G8" s="87"/>
      <c r="H8" s="48"/>
      <c r="I8" s="87"/>
      <c r="J8" s="87"/>
      <c r="K8" s="87"/>
      <c r="L8" s="87"/>
      <c r="M8" s="87"/>
      <c r="N8" s="48"/>
      <c r="O8" s="87"/>
      <c r="P8" s="87"/>
      <c r="Q8" s="87"/>
      <c r="R8" s="48"/>
      <c r="S8" s="48"/>
      <c r="T8" s="87"/>
      <c r="U8" s="87"/>
      <c r="V8" s="87"/>
      <c r="W8" s="80"/>
    </row>
    <row r="9" spans="1:23" s="92" customFormat="1" ht="13.5" x14ac:dyDescent="0.35">
      <c r="A9" s="97" t="s">
        <v>138</v>
      </c>
      <c r="B9" s="98">
        <f t="shared" ref="B9:G9" si="0">B7+(B6*$B$15)+(B5*$B$14)+($B$13*B4)</f>
        <v>729650929.43474603</v>
      </c>
      <c r="C9" s="98">
        <f t="shared" si="0"/>
        <v>393275536.23756695</v>
      </c>
      <c r="D9" s="98">
        <f t="shared" si="0"/>
        <v>82420319.489615172</v>
      </c>
      <c r="E9" s="98">
        <f t="shared" si="0"/>
        <v>31206933.970036037</v>
      </c>
      <c r="F9" s="98">
        <f t="shared" si="0"/>
        <v>213406035.36490244</v>
      </c>
      <c r="G9" s="98">
        <f t="shared" si="0"/>
        <v>313684831.86556315</v>
      </c>
      <c r="H9" s="81"/>
      <c r="I9" s="98">
        <f>I7+(I6*$B$15)+(I5*$B$14)+($B$13*I4)</f>
        <v>166455647.49266428</v>
      </c>
      <c r="J9" s="98">
        <f>J7+(J6*$B$15)+(J5*$B$14)+($B$13*J4)</f>
        <v>23022870.034029435</v>
      </c>
      <c r="K9" s="98">
        <f>K7+(K6*$B$15)+(K5*$B$14)+($B$13*K4)</f>
        <v>241193666.15482917</v>
      </c>
      <c r="L9" s="98">
        <f>L7+(L6*$B$15)+(L5*$B$14)+($B$13*L4)</f>
        <v>40090821.947349124</v>
      </c>
      <c r="M9" s="98">
        <f>M7+(M6*$B$15)+(M5*$B$14)+($B$13*M4)</f>
        <v>430210632.45256042</v>
      </c>
      <c r="N9" s="81"/>
      <c r="O9" s="98">
        <f>O7+(O6*$B$15)+(O5*$B$14)+($B$13*O4)</f>
        <v>1763644586.3624296</v>
      </c>
      <c r="P9" s="98">
        <f>P7+(P6*$B$15)+(P5*$B$14)+($B$13*P4)</f>
        <v>619689149.97925413</v>
      </c>
      <c r="Q9" s="98">
        <f>Q7+(Q6*$B$15)+(Q5*$B$14)+($B$13*Q4)</f>
        <v>1143955436.3831756</v>
      </c>
      <c r="R9" s="102">
        <f>O9/P9</f>
        <v>2.8460149518859135</v>
      </c>
      <c r="S9" s="81"/>
      <c r="T9" s="98">
        <f>T7+(T6*$B$15)+(T5*$B$14)+($B$13*T4)</f>
        <v>1205346785.1619282</v>
      </c>
      <c r="U9" s="98">
        <f>U7+(U6*$B$15)+(U5*$B$14)+($B$13*U4)</f>
        <v>470763005.62887198</v>
      </c>
      <c r="V9" s="98">
        <f>V7+(V6*$B$15)+(V5*$B$14)+($B$13*V4)</f>
        <v>734583779.53305626</v>
      </c>
      <c r="W9" s="102">
        <f>T9/U9</f>
        <v>2.5604110152023467</v>
      </c>
    </row>
    <row r="12" spans="1:23" x14ac:dyDescent="0.35">
      <c r="A12" s="100" t="s">
        <v>135</v>
      </c>
      <c r="B12" s="100" t="s">
        <v>136</v>
      </c>
    </row>
    <row r="13" spans="1:23" s="91" customFormat="1" ht="13.5" x14ac:dyDescent="0.35">
      <c r="A13" s="15" t="s">
        <v>128</v>
      </c>
      <c r="B13" s="99">
        <f>1/((1-0.0238)^3)</f>
        <v>1.0749384311464116</v>
      </c>
      <c r="C13" s="93"/>
    </row>
    <row r="14" spans="1:23" s="91" customFormat="1" ht="13.5" x14ac:dyDescent="0.35">
      <c r="A14" s="15" t="s">
        <v>127</v>
      </c>
      <c r="B14" s="99">
        <f>1/((1-0.0238)^2)</f>
        <v>1.0493548964851271</v>
      </c>
      <c r="C14" s="93"/>
    </row>
    <row r="15" spans="1:23" s="91" customFormat="1" ht="13.5" x14ac:dyDescent="0.35">
      <c r="A15" s="15" t="s">
        <v>126</v>
      </c>
      <c r="B15" s="99">
        <f>1/((1-0.0238)^1)</f>
        <v>1.0243802499487811</v>
      </c>
      <c r="C15" s="93"/>
    </row>
  </sheetData>
  <mergeCells count="5">
    <mergeCell ref="A1:A2"/>
    <mergeCell ref="B1:G1"/>
    <mergeCell ref="I1:M1"/>
    <mergeCell ref="O1:R1"/>
    <mergeCell ref="T1:W1"/>
  </mergeCells>
  <phoneticPr fontId="1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1FDCF-1EE1-49C4-9914-9D3C2722049C}">
  <dimension ref="A1:W29"/>
  <sheetViews>
    <sheetView workbookViewId="0">
      <selection activeCell="F27" sqref="F27"/>
    </sheetView>
  </sheetViews>
  <sheetFormatPr defaultRowHeight="14.5" x14ac:dyDescent="0.35"/>
  <cols>
    <col min="1" max="1" width="28.7265625" bestFit="1" customWidth="1"/>
    <col min="2" max="2" width="18.7265625" bestFit="1" customWidth="1"/>
    <col min="3" max="3" width="14.81640625" bestFit="1" customWidth="1"/>
    <col min="4" max="5" width="13.81640625" bestFit="1" customWidth="1"/>
    <col min="6" max="7" width="14.81640625" bestFit="1" customWidth="1"/>
    <col min="8" max="8" width="2.7265625" customWidth="1"/>
    <col min="9" max="9" width="17.26953125" bestFit="1" customWidth="1"/>
    <col min="10" max="10" width="13.81640625" bestFit="1" customWidth="1"/>
    <col min="11" max="11" width="14.81640625" bestFit="1" customWidth="1"/>
    <col min="12" max="12" width="13.81640625" bestFit="1" customWidth="1"/>
    <col min="13" max="13" width="14.81640625" bestFit="1" customWidth="1"/>
    <col min="14" max="14" width="2.7265625" customWidth="1"/>
    <col min="15" max="15" width="18.7265625" bestFit="1" customWidth="1"/>
    <col min="16" max="16" width="14.81640625" bestFit="1" customWidth="1"/>
    <col min="17" max="17" width="16.453125" bestFit="1" customWidth="1"/>
    <col min="18" max="18" width="9.453125" bestFit="1" customWidth="1"/>
    <col min="19" max="19" width="2.7265625" customWidth="1"/>
    <col min="20" max="20" width="18.7265625" bestFit="1" customWidth="1"/>
    <col min="21" max="21" width="14.81640625" bestFit="1" customWidth="1"/>
    <col min="22" max="22" width="18.54296875" bestFit="1" customWidth="1"/>
    <col min="23" max="23" width="12.7265625" bestFit="1" customWidth="1"/>
  </cols>
  <sheetData>
    <row r="1" spans="1:23" x14ac:dyDescent="0.35">
      <c r="A1" s="105" t="s">
        <v>119</v>
      </c>
      <c r="B1" s="107" t="s">
        <v>12</v>
      </c>
      <c r="C1" s="108"/>
      <c r="D1" s="108"/>
      <c r="E1" s="108"/>
      <c r="F1" s="108"/>
      <c r="G1" s="109"/>
      <c r="H1" s="75"/>
      <c r="I1" s="107" t="s">
        <v>13</v>
      </c>
      <c r="J1" s="108"/>
      <c r="K1" s="108"/>
      <c r="L1" s="108"/>
      <c r="M1" s="109"/>
      <c r="N1" s="75"/>
      <c r="O1" s="107" t="s">
        <v>14</v>
      </c>
      <c r="P1" s="108"/>
      <c r="Q1" s="108"/>
      <c r="R1" s="109"/>
      <c r="S1" s="75"/>
      <c r="T1" s="107" t="s">
        <v>15</v>
      </c>
      <c r="U1" s="108"/>
      <c r="V1" s="108"/>
      <c r="W1" s="110"/>
    </row>
    <row r="2" spans="1:23" ht="27" x14ac:dyDescent="0.35">
      <c r="A2" s="106"/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1"/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1"/>
      <c r="O2" s="10" t="s">
        <v>27</v>
      </c>
      <c r="P2" s="10" t="s">
        <v>28</v>
      </c>
      <c r="Q2" s="10" t="s">
        <v>29</v>
      </c>
      <c r="R2" s="10" t="s">
        <v>30</v>
      </c>
      <c r="S2" s="11"/>
      <c r="T2" s="13" t="s">
        <v>31</v>
      </c>
      <c r="U2" s="13" t="s">
        <v>32</v>
      </c>
      <c r="V2" s="13" t="s">
        <v>33</v>
      </c>
      <c r="W2" s="76" t="s">
        <v>34</v>
      </c>
    </row>
    <row r="3" spans="1:23" x14ac:dyDescent="0.35">
      <c r="A3" s="77" t="s">
        <v>35</v>
      </c>
      <c r="B3" s="46" t="s">
        <v>36</v>
      </c>
      <c r="C3" s="46" t="s">
        <v>37</v>
      </c>
      <c r="D3" s="46" t="s">
        <v>38</v>
      </c>
      <c r="E3" s="46" t="s">
        <v>39</v>
      </c>
      <c r="F3" s="46" t="s">
        <v>72</v>
      </c>
      <c r="G3" s="46" t="s">
        <v>40</v>
      </c>
      <c r="H3" s="11"/>
      <c r="I3" s="46" t="s">
        <v>79</v>
      </c>
      <c r="J3" s="46" t="s">
        <v>41</v>
      </c>
      <c r="K3" s="46" t="s">
        <v>42</v>
      </c>
      <c r="L3" s="46" t="s">
        <v>43</v>
      </c>
      <c r="M3" s="46" t="s">
        <v>44</v>
      </c>
      <c r="N3" s="11"/>
      <c r="O3" s="46" t="s">
        <v>80</v>
      </c>
      <c r="P3" s="46" t="s">
        <v>81</v>
      </c>
      <c r="Q3" s="46" t="s">
        <v>82</v>
      </c>
      <c r="R3" s="46" t="s">
        <v>83</v>
      </c>
      <c r="S3" s="11"/>
      <c r="T3" s="46" t="s">
        <v>84</v>
      </c>
      <c r="U3" s="46" t="s">
        <v>85</v>
      </c>
      <c r="V3" s="46" t="s">
        <v>86</v>
      </c>
      <c r="W3" s="78" t="s">
        <v>87</v>
      </c>
    </row>
    <row r="4" spans="1:23" x14ac:dyDescent="0.35">
      <c r="A4" s="73">
        <v>2018</v>
      </c>
      <c r="B4" s="71">
        <f>'SAG Summary - EE Portfolio ''18'!B23</f>
        <v>172405890.62026989</v>
      </c>
      <c r="C4" s="71">
        <f>'SAG Summary - EE Portfolio ''18'!C23</f>
        <v>77396618.98312144</v>
      </c>
      <c r="D4" s="71">
        <f>'SAG Summary - EE Portfolio ''18'!D23</f>
        <v>26583215.554043386</v>
      </c>
      <c r="E4" s="71">
        <f>'SAG Summary - EE Portfolio ''18'!E23</f>
        <v>5483250.155130404</v>
      </c>
      <c r="F4" s="71">
        <f>'SAG Summary - EE Portfolio ''18'!F23</f>
        <v>28193212.511367843</v>
      </c>
      <c r="G4" s="71">
        <f>'SAG Summary - EE Portfolio ''18'!G23</f>
        <v>67132935.454704434</v>
      </c>
      <c r="H4" s="48"/>
      <c r="I4" s="71">
        <f>'SAG Summary - EE Portfolio ''18'!I23</f>
        <v>38543186.289999999</v>
      </c>
      <c r="J4" s="71">
        <f>'SAG Summary - EE Portfolio ''18'!J23</f>
        <v>5675516.75</v>
      </c>
      <c r="K4" s="71">
        <f>'SAG Summary - EE Portfolio ''18'!K23</f>
        <v>61153489.259999998</v>
      </c>
      <c r="L4" s="71">
        <f>'SAG Summary - EE Portfolio ''18'!L23</f>
        <v>10295602.960000001</v>
      </c>
      <c r="M4" s="71">
        <f>'SAG Summary - EE Portfolio ''18'!M23</f>
        <v>105228625.15068947</v>
      </c>
      <c r="N4" s="48"/>
      <c r="O4" s="71">
        <f>'SAG Summary - EE Portfolio ''18'!O23</f>
        <v>377195123.27863741</v>
      </c>
      <c r="P4" s="71">
        <f>'SAG Summary - EE Portfolio ''18'!P23</f>
        <v>149447328.19068947</v>
      </c>
      <c r="Q4" s="71">
        <f>'SAG Summary - EE Portfolio ''18'!Q23</f>
        <v>227747795.08794793</v>
      </c>
      <c r="R4" s="72">
        <f>'SAG Summary - EE Portfolio ''18'!R23</f>
        <v>2.5239335346119391</v>
      </c>
      <c r="S4" s="48"/>
      <c r="T4" s="71">
        <f>'SAG Summary - EE Portfolio ''18'!T23</f>
        <v>276385725.15743476</v>
      </c>
      <c r="U4" s="71">
        <f>'SAG Summary - EE Portfolio ''18'!U23</f>
        <v>115667795.25999999</v>
      </c>
      <c r="V4" s="71">
        <f>'SAG Summary - EE Portfolio ''18'!V23</f>
        <v>160717929.89743477</v>
      </c>
      <c r="W4" s="72">
        <f>'SAG Summary - EE Portfolio ''18'!W23</f>
        <v>2.3894786317675578</v>
      </c>
    </row>
    <row r="5" spans="1:23" x14ac:dyDescent="0.35">
      <c r="A5" s="73">
        <v>2019</v>
      </c>
      <c r="B5" s="71">
        <f>'SAG Summary - EE Portfolio ''19'!B30</f>
        <v>145431762.64046922</v>
      </c>
      <c r="C5" s="71">
        <f>'SAG Summary - EE Portfolio ''19'!C30</f>
        <v>83252229.534852937</v>
      </c>
      <c r="D5" s="71">
        <f>'SAG Summary - EE Portfolio ''19'!D30</f>
        <v>17801022.441772792</v>
      </c>
      <c r="E5" s="71">
        <f>'SAG Summary - EE Portfolio ''19'!E30</f>
        <v>5748168.9655172592</v>
      </c>
      <c r="F5" s="71">
        <f>'SAG Summary - EE Portfolio ''19'!F30</f>
        <v>47236594.515468419</v>
      </c>
      <c r="G5" s="71">
        <f>'SAG Summary - EE Portfolio ''19'!G30</f>
        <v>60954898.462027207</v>
      </c>
      <c r="H5" s="48"/>
      <c r="I5" s="71">
        <f>'SAG Summary - EE Portfolio ''19'!I30</f>
        <v>35307289.359999999</v>
      </c>
      <c r="J5" s="71">
        <f>'SAG Summary - EE Portfolio ''19'!J30</f>
        <v>4884594.5999999996</v>
      </c>
      <c r="K5" s="71">
        <f>'SAG Summary - EE Portfolio ''19'!K30</f>
        <v>60528058.019999996</v>
      </c>
      <c r="L5" s="71">
        <f>'SAG Summary - EE Portfolio ''19'!L30</f>
        <v>10086935.689999999</v>
      </c>
      <c r="M5" s="71">
        <f>'SAG Summary - EE Portfolio ''19'!M30</f>
        <v>124342717.31205052</v>
      </c>
      <c r="N5" s="48"/>
      <c r="O5" s="71">
        <f>'SAG Summary - EE Portfolio ''19'!O30</f>
        <v>360424676.56010783</v>
      </c>
      <c r="P5" s="71">
        <f>'SAG Summary - EE Portfolio ''19'!P30</f>
        <v>164534601.27205053</v>
      </c>
      <c r="Q5" s="71">
        <f>'SAG Summary - EE Portfolio ''19'!Q30</f>
        <v>195890075.2880573</v>
      </c>
      <c r="R5" s="72">
        <f>'SAG Summary - EE Portfolio ''19'!R30</f>
        <v>2.1905706992546929</v>
      </c>
      <c r="S5" s="48"/>
      <c r="T5" s="71">
        <f>'SAG Summary - EE Portfolio ''19'!T30</f>
        <v>246485014.61709496</v>
      </c>
      <c r="U5" s="71">
        <f>'SAG Summary - EE Portfolio ''19'!U30</f>
        <v>110806877.66999999</v>
      </c>
      <c r="V5" s="71">
        <f>'SAG Summary - EE Portfolio ''19'!V30</f>
        <v>135678136.94709498</v>
      </c>
      <c r="W5" s="72">
        <f>'SAG Summary - EE Portfolio ''19'!W30</f>
        <v>2.2244559164564266</v>
      </c>
    </row>
    <row r="6" spans="1:23" x14ac:dyDescent="0.35">
      <c r="A6" s="73">
        <v>2020</v>
      </c>
      <c r="B6" s="71">
        <f>'SAG Summary - EE Portfolio ''20'!B31</f>
        <v>192613371.65167245</v>
      </c>
      <c r="C6" s="71">
        <f>'SAG Summary - EE Portfolio ''20'!C31</f>
        <v>108243829.20689905</v>
      </c>
      <c r="D6" s="71">
        <f>'SAG Summary - EE Portfolio ''20'!D31</f>
        <v>21074670.088966332</v>
      </c>
      <c r="E6" s="71">
        <f>'SAG Summary - EE Portfolio ''20'!E31</f>
        <v>7666715.4032012122</v>
      </c>
      <c r="F6" s="71">
        <f>'SAG Summary - EE Portfolio ''20'!F31</f>
        <v>80861538.457810774</v>
      </c>
      <c r="G6" s="71">
        <f>'SAG Summary - EE Portfolio ''20'!G31</f>
        <v>83427354.777304932</v>
      </c>
      <c r="H6" s="48"/>
      <c r="I6" s="71">
        <f>'SAG Summary - EE Portfolio ''20'!I31</f>
        <v>42992227.966275997</v>
      </c>
      <c r="J6" s="71">
        <f>'SAG Summary - EE Portfolio ''20'!J31</f>
        <v>5540603.6891879998</v>
      </c>
      <c r="K6" s="71">
        <f>'SAG Summary - EE Portfolio ''20'!K31</f>
        <v>55248101.592999995</v>
      </c>
      <c r="L6" s="71">
        <f>'SAG Summary - EE Portfolio ''20'!L31</f>
        <v>9366276.0500000007</v>
      </c>
      <c r="M6" s="71">
        <f>'SAG Summary - EE Portfolio ''20'!M31</f>
        <v>78625836.702622116</v>
      </c>
      <c r="N6" s="48"/>
      <c r="O6" s="71">
        <f>'SAG Summary - EE Portfolio ''20'!O31</f>
        <v>493887479.58585477</v>
      </c>
      <c r="P6" s="71">
        <f>'SAG Summary - EE Portfolio ''20'!P31</f>
        <v>127158668.35808611</v>
      </c>
      <c r="Q6" s="71">
        <f>'SAG Summary - EE Portfolio ''20'!Q31</f>
        <v>366728811.22776866</v>
      </c>
      <c r="R6" s="72">
        <f>'SAG Summary - EE Portfolio ''20'!R31</f>
        <v>3.8840252572875276</v>
      </c>
      <c r="S6" s="48"/>
      <c r="T6" s="71">
        <f>'SAG Summary - EE Portfolio ''20'!T31</f>
        <v>321931870.94753784</v>
      </c>
      <c r="U6" s="71">
        <f>'SAG Summary - EE Portfolio ''20'!U31</f>
        <v>113147209.29846399</v>
      </c>
      <c r="V6" s="71">
        <f>'SAG Summary - EE Portfolio ''20'!V31</f>
        <v>208784661.64907384</v>
      </c>
      <c r="W6" s="72">
        <f>'SAG Summary - EE Portfolio ''20'!W31</f>
        <v>2.8452479998718641</v>
      </c>
    </row>
    <row r="7" spans="1:23" x14ac:dyDescent="0.35">
      <c r="A7" s="73">
        <v>2021</v>
      </c>
      <c r="B7" s="71">
        <f>'SAG Summary - EE Portfolio ''21'!B33</f>
        <v>194406345.82373637</v>
      </c>
      <c r="C7" s="71">
        <f>'SAG Summary - EE Portfolio ''21'!C33</f>
        <v>111834960.52773575</v>
      </c>
      <c r="D7" s="71">
        <f>'SAG Summary - EE Portfolio ''21'!D33</f>
        <v>13576933.592085531</v>
      </c>
      <c r="E7" s="71">
        <f>'SAG Summary - EE Portfolio ''21'!E33</f>
        <v>11427276.559890034</v>
      </c>
      <c r="F7" s="71">
        <f>'SAG Summary - EE Portfolio ''21'!F33</f>
        <v>50699153.014210835</v>
      </c>
      <c r="G7" s="71">
        <f>'SAG Summary - EE Portfolio ''21'!G33</f>
        <v>92096403.84440662</v>
      </c>
      <c r="H7" s="48"/>
      <c r="I7" s="71">
        <f>'SAG Summary - EE Portfolio ''21'!I33</f>
        <v>43933829.089225769</v>
      </c>
      <c r="J7" s="71">
        <f>'SAG Summary - EE Portfolio ''21'!J33</f>
        <v>6120680.7099869028</v>
      </c>
      <c r="K7" s="71">
        <f>'SAG Summary - EE Portfolio ''21'!K33</f>
        <v>55346952.173500001</v>
      </c>
      <c r="L7" s="71">
        <f>'SAG Summary - EE Portfolio ''21'!L33</f>
        <v>8844279.0958000012</v>
      </c>
      <c r="M7" s="71">
        <f>'SAG Summary - EE Portfolio ''21'!M33</f>
        <v>106073945.71385415</v>
      </c>
      <c r="N7" s="48"/>
      <c r="O7" s="71">
        <f>'SAG Summary - EE Portfolio ''21'!O33</f>
        <v>474041073.36206514</v>
      </c>
      <c r="P7" s="71">
        <f>'SAG Summary - EE Portfolio ''21'!P33</f>
        <v>156128455.51306683</v>
      </c>
      <c r="Q7" s="71">
        <f>'SAG Summary - EE Portfolio ''21'!Q33</f>
        <v>317912617.84899831</v>
      </c>
      <c r="R7" s="72">
        <f>'SAG Summary - EE Portfolio ''21'!R33</f>
        <v>3.0362247023086146</v>
      </c>
      <c r="S7" s="48"/>
      <c r="T7" s="71">
        <f>'SAG Summary - EE Portfolio ''21'!T33</f>
        <v>319818239.94355768</v>
      </c>
      <c r="U7" s="71">
        <f>'SAG Summary - EE Portfolio ''21'!U33</f>
        <v>114245741.06851266</v>
      </c>
      <c r="V7" s="71">
        <f>'SAG Summary - EE Portfolio ''21'!V33</f>
        <v>205572498.875045</v>
      </c>
      <c r="W7" s="72">
        <f>'SAG Summary - EE Portfolio ''21'!W33</f>
        <v>2.7993887295261546</v>
      </c>
    </row>
    <row r="8" spans="1:23" ht="9.75" customHeight="1" x14ac:dyDescent="0.35">
      <c r="A8" s="79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80"/>
    </row>
    <row r="9" spans="1:23" x14ac:dyDescent="0.35">
      <c r="A9" s="73" t="s">
        <v>129</v>
      </c>
      <c r="B9" s="71">
        <f t="shared" ref="B9:G11" si="0">B5*$B23</f>
        <v>142050950.0297609</v>
      </c>
      <c r="C9" s="71">
        <f t="shared" si="0"/>
        <v>81316887.609741092</v>
      </c>
      <c r="D9" s="71">
        <f t="shared" si="0"/>
        <v>17387206.917144746</v>
      </c>
      <c r="E9" s="71">
        <f t="shared" si="0"/>
        <v>5614542.8457875159</v>
      </c>
      <c r="F9" s="71">
        <f t="shared" si="0"/>
        <v>46138498.256952934</v>
      </c>
      <c r="G9" s="71">
        <f t="shared" si="0"/>
        <v>59537896.524738424</v>
      </c>
      <c r="H9" s="48"/>
      <c r="I9" s="71">
        <f>I5*$B23</f>
        <v>34486510.412189879</v>
      </c>
      <c r="J9" s="71">
        <f t="shared" ref="J9:M11" si="1">J5*$B23</f>
        <v>4771043.7585465899</v>
      </c>
      <c r="K9" s="71">
        <f t="shared" si="1"/>
        <v>59120978.726313725</v>
      </c>
      <c r="L9" s="71">
        <f t="shared" si="1"/>
        <v>9852447.4409064259</v>
      </c>
      <c r="M9" s="71">
        <f t="shared" si="1"/>
        <v>121452155.99926794</v>
      </c>
      <c r="N9" s="48"/>
      <c r="O9" s="71">
        <f>O5*$B23</f>
        <v>352045982.1841256</v>
      </c>
      <c r="P9" s="71">
        <f t="shared" ref="P9:Q11" si="2">P5*$B23</f>
        <v>160709710.1700044</v>
      </c>
      <c r="Q9" s="71">
        <f t="shared" si="2"/>
        <v>191336272.0141212</v>
      </c>
      <c r="R9" s="72">
        <f>O9/P9</f>
        <v>2.1905706992546929</v>
      </c>
      <c r="S9" s="48"/>
      <c r="T9" s="71">
        <f>T5*$B23</f>
        <v>240755044.55664673</v>
      </c>
      <c r="U9" s="71">
        <f t="shared" ref="U9:V11" si="3">U5*$B23</f>
        <v>108230980.33795661</v>
      </c>
      <c r="V9" s="71">
        <f t="shared" si="3"/>
        <v>132524064.21869014</v>
      </c>
      <c r="W9" s="72">
        <f>T9/U9</f>
        <v>2.2244559164564266</v>
      </c>
    </row>
    <row r="10" spans="1:23" x14ac:dyDescent="0.35">
      <c r="A10" s="73" t="s">
        <v>130</v>
      </c>
      <c r="B10" s="71">
        <f>B6*$B24</f>
        <v>183762200.64026514</v>
      </c>
      <c r="C10" s="71">
        <f t="shared" si="0"/>
        <v>103269695.60950552</v>
      </c>
      <c r="D10" s="71">
        <f t="shared" si="0"/>
        <v>20106224.817659996</v>
      </c>
      <c r="E10" s="71">
        <f t="shared" si="0"/>
        <v>7314406.4822388422</v>
      </c>
      <c r="F10" s="71">
        <f t="shared" si="0"/>
        <v>77145704.510259613</v>
      </c>
      <c r="G10" s="71">
        <f t="shared" si="0"/>
        <v>79593613.755945966</v>
      </c>
      <c r="H10" s="48"/>
      <c r="I10" s="71">
        <f>I6*$B24</f>
        <v>41016604.162861757</v>
      </c>
      <c r="J10" s="71">
        <f t="shared" si="1"/>
        <v>5285996.076336883</v>
      </c>
      <c r="K10" s="71">
        <f t="shared" si="1"/>
        <v>52709283.072447911</v>
      </c>
      <c r="L10" s="71">
        <f t="shared" si="1"/>
        <v>8935867.1414818428</v>
      </c>
      <c r="M10" s="71">
        <f>M6*$B24</f>
        <v>75012740.059319302</v>
      </c>
      <c r="N10" s="48"/>
      <c r="O10" s="71">
        <f>O6*$B24</f>
        <v>471191845.81587511</v>
      </c>
      <c r="P10" s="71">
        <f t="shared" si="2"/>
        <v>121315340.29851794</v>
      </c>
      <c r="Q10" s="71">
        <f t="shared" si="2"/>
        <v>349876505.51735717</v>
      </c>
      <c r="R10" s="72">
        <f t="shared" ref="R10:R11" si="4">O10/P10</f>
        <v>3.8840252572875276</v>
      </c>
      <c r="S10" s="48"/>
      <c r="T10" s="71">
        <f>T6*$B24</f>
        <v>307138121.06743068</v>
      </c>
      <c r="U10" s="71">
        <f t="shared" si="3"/>
        <v>107947750.45312838</v>
      </c>
      <c r="V10" s="71">
        <f t="shared" si="3"/>
        <v>199190370.61430225</v>
      </c>
      <c r="W10" s="72">
        <f t="shared" ref="W10:W11" si="5">T10/U10</f>
        <v>2.8452479998718645</v>
      </c>
    </row>
    <row r="11" spans="1:23" x14ac:dyDescent="0.35">
      <c r="A11" s="73" t="s">
        <v>131</v>
      </c>
      <c r="B11" s="71">
        <f t="shared" si="0"/>
        <v>181161146.89275849</v>
      </c>
      <c r="C11" s="71">
        <f t="shared" si="0"/>
        <v>104215475.19997306</v>
      </c>
      <c r="D11" s="71">
        <f t="shared" si="0"/>
        <v>12651916.532905294</v>
      </c>
      <c r="E11" s="71">
        <f t="shared" si="0"/>
        <v>10648718.891755706</v>
      </c>
      <c r="F11" s="71">
        <f t="shared" si="0"/>
        <v>47244942.89334286</v>
      </c>
      <c r="G11" s="71">
        <f t="shared" si="0"/>
        <v>85821736.293930471</v>
      </c>
      <c r="H11" s="48"/>
      <c r="I11" s="71">
        <f>I7*$B25</f>
        <v>40940550.739073642</v>
      </c>
      <c r="J11" s="71">
        <f t="shared" si="1"/>
        <v>5703669.4583568797</v>
      </c>
      <c r="K11" s="71">
        <f t="shared" si="1"/>
        <v>51576080.452954449</v>
      </c>
      <c r="L11" s="71">
        <f t="shared" si="1"/>
        <v>8241704.9589908458</v>
      </c>
      <c r="M11" s="71">
        <f>M7*$B25</f>
        <v>98846967.055206865</v>
      </c>
      <c r="N11" s="48"/>
      <c r="O11" s="71">
        <f>O7*$B25</f>
        <v>441743936.7046659</v>
      </c>
      <c r="P11" s="71">
        <f t="shared" si="2"/>
        <v>145491187.25263739</v>
      </c>
      <c r="Q11" s="71">
        <f t="shared" si="2"/>
        <v>296252749.45202851</v>
      </c>
      <c r="R11" s="72">
        <f t="shared" si="4"/>
        <v>3.0362247023086151</v>
      </c>
      <c r="S11" s="48"/>
      <c r="T11" s="71">
        <f>T7*$B25</f>
        <v>298028538.62563688</v>
      </c>
      <c r="U11" s="71">
        <f t="shared" si="3"/>
        <v>106462005.6093758</v>
      </c>
      <c r="V11" s="71">
        <f t="shared" si="3"/>
        <v>191566533.01626104</v>
      </c>
      <c r="W11" s="72">
        <f t="shared" si="5"/>
        <v>2.7993887295261546</v>
      </c>
    </row>
    <row r="12" spans="1:23" ht="9.75" customHeight="1" x14ac:dyDescent="0.35">
      <c r="A12" s="79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80"/>
    </row>
    <row r="13" spans="1:23" s="74" customFormat="1" x14ac:dyDescent="0.35">
      <c r="A13" s="73" t="s">
        <v>132</v>
      </c>
      <c r="B13" s="71">
        <f>B4*$C27</f>
        <v>185010968.23931187</v>
      </c>
      <c r="C13" s="71">
        <f t="shared" ref="C13:G13" si="6">C4*$C27</f>
        <v>83055302.605959117</v>
      </c>
      <c r="D13" s="71">
        <f t="shared" si="6"/>
        <v>28526788.910016902</v>
      </c>
      <c r="E13" s="71">
        <f t="shared" si="6"/>
        <v>5884145.9340471169</v>
      </c>
      <c r="F13" s="71">
        <f t="shared" si="6"/>
        <v>30254497.25493075</v>
      </c>
      <c r="G13" s="71">
        <f t="shared" si="6"/>
        <v>72041212.423410252</v>
      </c>
      <c r="H13" s="48"/>
      <c r="I13" s="71">
        <f>I4*$C27</f>
        <v>41361186.609610453</v>
      </c>
      <c r="J13" s="71">
        <f t="shared" ref="J13:M13" si="7">J4*$C27</f>
        <v>6090469.6782586584</v>
      </c>
      <c r="K13" s="71">
        <f t="shared" si="7"/>
        <v>65624592.167355776</v>
      </c>
      <c r="L13" s="71">
        <f t="shared" si="7"/>
        <v>11048343.333189897</v>
      </c>
      <c r="M13" s="71">
        <f t="shared" si="7"/>
        <v>112922184.70945762</v>
      </c>
      <c r="N13" s="48"/>
      <c r="O13" s="71">
        <f>O4*$C27</f>
        <v>404772915.36767602</v>
      </c>
      <c r="P13" s="71">
        <f t="shared" ref="P13:Q13" si="8">P4*$C27</f>
        <v>160373840.99732673</v>
      </c>
      <c r="Q13" s="71">
        <f t="shared" si="8"/>
        <v>244399074.37034929</v>
      </c>
      <c r="R13" s="72">
        <f>O13/P13</f>
        <v>2.5239335346119396</v>
      </c>
      <c r="S13" s="48"/>
      <c r="T13" s="71">
        <f>T4*$C27</f>
        <v>296593059.75528795</v>
      </c>
      <c r="U13" s="71">
        <f t="shared" ref="U13:V13" si="9">U4*$C27</f>
        <v>124124591.78841478</v>
      </c>
      <c r="V13" s="71">
        <f t="shared" si="9"/>
        <v>172468467.96687317</v>
      </c>
      <c r="W13" s="72">
        <f>T13/U13</f>
        <v>2.3894786317675574</v>
      </c>
    </row>
    <row r="14" spans="1:23" s="74" customFormat="1" x14ac:dyDescent="0.35">
      <c r="A14" s="73" t="s">
        <v>133</v>
      </c>
      <c r="B14" s="71">
        <f>B5*$C28</f>
        <v>152436692.90978566</v>
      </c>
      <c r="C14" s="71">
        <f t="shared" ref="C14:G14" si="10">C5*$C28</f>
        <v>87262193.053609669</v>
      </c>
      <c r="D14" s="71">
        <f t="shared" si="10"/>
        <v>18658434.321153097</v>
      </c>
      <c r="E14" s="71">
        <f t="shared" si="10"/>
        <v>6025037.8011047095</v>
      </c>
      <c r="F14" s="71">
        <f t="shared" si="10"/>
        <v>49511813.111002065</v>
      </c>
      <c r="G14" s="71">
        <f t="shared" si="10"/>
        <v>63890878.921504542</v>
      </c>
      <c r="H14" s="48"/>
      <c r="I14" s="71">
        <f>I5*$C28</f>
        <v>37007915.794521086</v>
      </c>
      <c r="J14" s="71">
        <f t="shared" ref="J14:M14" si="11">J5*$C28</f>
        <v>5119868.1327252239</v>
      </c>
      <c r="K14" s="71">
        <f t="shared" si="11"/>
        <v>63443479.094936855</v>
      </c>
      <c r="L14" s="71">
        <f t="shared" si="11"/>
        <v>10572787.472696245</v>
      </c>
      <c r="M14" s="71">
        <f t="shared" si="11"/>
        <v>130331863.34489839</v>
      </c>
      <c r="N14" s="48"/>
      <c r="O14" s="71">
        <f>O5*$C28</f>
        <v>377785050.11815971</v>
      </c>
      <c r="P14" s="71">
        <f t="shared" ref="P14:Q14" si="12">P5*$C28</f>
        <v>172459647.27214471</v>
      </c>
      <c r="Q14" s="71">
        <f t="shared" si="12"/>
        <v>205325402.84601501</v>
      </c>
      <c r="R14" s="72">
        <f t="shared" ref="R14:R15" si="13">O14/P14</f>
        <v>2.1905706992546929</v>
      </c>
      <c r="S14" s="48"/>
      <c r="T14" s="71">
        <f>T5*$C28</f>
        <v>258357320.28454843</v>
      </c>
      <c r="U14" s="71">
        <f t="shared" ref="U14:V14" si="14">U5*$C28</f>
        <v>116144050.49487939</v>
      </c>
      <c r="V14" s="71">
        <f t="shared" si="14"/>
        <v>142213269.78966904</v>
      </c>
      <c r="W14" s="72">
        <f t="shared" ref="W14:W15" si="15">T14/U14</f>
        <v>2.2244559164564266</v>
      </c>
    </row>
    <row r="15" spans="1:23" s="74" customFormat="1" x14ac:dyDescent="0.35">
      <c r="A15" s="73" t="s">
        <v>134</v>
      </c>
      <c r="B15" s="71">
        <f>B6*$C29</f>
        <v>197197569.89698225</v>
      </c>
      <c r="C15" s="71">
        <f t="shared" ref="C15:G15" si="16">C6*$C29</f>
        <v>110820032.34202325</v>
      </c>
      <c r="D15" s="71">
        <f t="shared" si="16"/>
        <v>21576247.237083733</v>
      </c>
      <c r="E15" s="71">
        <f t="shared" si="16"/>
        <v>7849183.2297974015</v>
      </c>
      <c r="F15" s="71">
        <f t="shared" si="16"/>
        <v>82786043.073106676</v>
      </c>
      <c r="G15" s="71">
        <f t="shared" si="16"/>
        <v>85412925.821004793</v>
      </c>
      <c r="H15" s="48"/>
      <c r="I15" s="71">
        <f>I6*$C29</f>
        <v>44015442.991873369</v>
      </c>
      <c r="J15" s="71">
        <f t="shared" ref="J15:M15" si="17">J6*$C29</f>
        <v>5672470.0569906747</v>
      </c>
      <c r="K15" s="71">
        <f t="shared" si="17"/>
        <v>56563006.4109134</v>
      </c>
      <c r="L15" s="71">
        <f t="shared" si="17"/>
        <v>9589193.4199900012</v>
      </c>
      <c r="M15" s="71">
        <f t="shared" si="17"/>
        <v>80497131.616144523</v>
      </c>
      <c r="N15" s="48"/>
      <c r="O15" s="71">
        <f>O6*$C29</f>
        <v>505642001.59999812</v>
      </c>
      <c r="P15" s="71">
        <f t="shared" ref="P15:Q15" si="18">P6*$C29</f>
        <v>130185044.66500856</v>
      </c>
      <c r="Q15" s="71">
        <f t="shared" si="18"/>
        <v>375456956.93498957</v>
      </c>
      <c r="R15" s="72">
        <f t="shared" si="13"/>
        <v>3.8840252572875276</v>
      </c>
      <c r="S15" s="48"/>
      <c r="T15" s="71">
        <f>T6*$C29</f>
        <v>329593849.47608924</v>
      </c>
      <c r="U15" s="71">
        <f t="shared" ref="U15:V15" si="19">U6*$C29</f>
        <v>115840112.87976743</v>
      </c>
      <c r="V15" s="71">
        <f t="shared" si="19"/>
        <v>213753736.59632179</v>
      </c>
      <c r="W15" s="72">
        <f t="shared" si="15"/>
        <v>2.8452479998718641</v>
      </c>
    </row>
    <row r="16" spans="1:23" ht="9.75" customHeight="1" x14ac:dyDescent="0.35">
      <c r="A16" s="79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80"/>
    </row>
    <row r="17" spans="1:23" x14ac:dyDescent="0.35">
      <c r="A17" s="73" t="s">
        <v>120</v>
      </c>
      <c r="B17" s="71">
        <f t="shared" ref="B17:G17" si="20">SUM(B4:B7)</f>
        <v>704857370.73614788</v>
      </c>
      <c r="C17" s="71">
        <f t="shared" si="20"/>
        <v>380727638.25260919</v>
      </c>
      <c r="D17" s="71">
        <f t="shared" si="20"/>
        <v>79035841.676868036</v>
      </c>
      <c r="E17" s="71">
        <f t="shared" si="20"/>
        <v>30325411.083738908</v>
      </c>
      <c r="F17" s="71">
        <f t="shared" si="20"/>
        <v>206990498.49885786</v>
      </c>
      <c r="G17" s="71">
        <f t="shared" si="20"/>
        <v>303611592.53844321</v>
      </c>
      <c r="H17" s="48"/>
      <c r="I17" s="71">
        <f t="shared" ref="I17:L17" si="21">SUM(I4:I7)</f>
        <v>160776532.70550177</v>
      </c>
      <c r="J17" s="71">
        <f t="shared" si="21"/>
        <v>22221395.7491749</v>
      </c>
      <c r="K17" s="71">
        <f t="shared" si="21"/>
        <v>232276601.0465</v>
      </c>
      <c r="L17" s="71">
        <f t="shared" si="21"/>
        <v>38593093.7958</v>
      </c>
      <c r="M17" s="71">
        <f>SUM(M4:M7)</f>
        <v>414271124.87921625</v>
      </c>
      <c r="N17" s="48"/>
      <c r="O17" s="71">
        <f t="shared" ref="O17:Q17" si="22">SUM(O4:O7)</f>
        <v>1705548352.7866652</v>
      </c>
      <c r="P17" s="71">
        <f t="shared" si="22"/>
        <v>597269053.33389294</v>
      </c>
      <c r="Q17" s="71">
        <f t="shared" si="22"/>
        <v>1108279299.4527721</v>
      </c>
      <c r="R17" s="72">
        <f>O17/P17</f>
        <v>2.8555779732207354</v>
      </c>
      <c r="S17" s="48"/>
      <c r="T17" s="71">
        <f>SUM(T4:T7)</f>
        <v>1164620850.6656253</v>
      </c>
      <c r="U17" s="71">
        <f t="shared" ref="U17:V17" si="23">SUM(U4:U7)</f>
        <v>453867623.29697663</v>
      </c>
      <c r="V17" s="71">
        <f t="shared" si="23"/>
        <v>710753227.36864853</v>
      </c>
      <c r="W17" s="72">
        <f>T17/U17</f>
        <v>2.5659923530248943</v>
      </c>
    </row>
    <row r="18" spans="1:23" x14ac:dyDescent="0.35">
      <c r="A18" s="73" t="s">
        <v>121</v>
      </c>
      <c r="B18" s="71">
        <f>SUM(B9:B11)+B4</f>
        <v>679380188.18305445</v>
      </c>
      <c r="C18" s="71">
        <f>SUM(C9:C11)+C4</f>
        <v>366198677.40234113</v>
      </c>
      <c r="D18" s="71">
        <f t="shared" ref="D18:G18" si="24">SUM(D9:D11)+D4</f>
        <v>76728563.821753427</v>
      </c>
      <c r="E18" s="71">
        <f t="shared" si="24"/>
        <v>29060918.374912467</v>
      </c>
      <c r="F18" s="71">
        <f t="shared" si="24"/>
        <v>198722358.17192322</v>
      </c>
      <c r="G18" s="71">
        <f t="shared" si="24"/>
        <v>292086182.02931929</v>
      </c>
      <c r="H18" s="48"/>
      <c r="I18" s="71">
        <f>SUM(I9:I11)+I4</f>
        <v>154986851.60412526</v>
      </c>
      <c r="J18" s="71">
        <f t="shared" ref="J18:M18" si="25">SUM(J9:J11)+J4</f>
        <v>21436226.043240353</v>
      </c>
      <c r="K18" s="71">
        <f t="shared" si="25"/>
        <v>224559831.51171607</v>
      </c>
      <c r="L18" s="71">
        <f t="shared" si="25"/>
        <v>37325622.501379117</v>
      </c>
      <c r="M18" s="71">
        <f t="shared" si="25"/>
        <v>400540488.26448357</v>
      </c>
      <c r="N18" s="48"/>
      <c r="O18" s="71">
        <f>SUM(O9:O11)+O4</f>
        <v>1642176887.983304</v>
      </c>
      <c r="P18" s="71">
        <f t="shared" ref="P18:Q18" si="26">SUM(P9:P11)+P4</f>
        <v>576963565.91184914</v>
      </c>
      <c r="Q18" s="71">
        <f t="shared" si="26"/>
        <v>1065213322.0714549</v>
      </c>
      <c r="R18" s="72">
        <f>O18/P18</f>
        <v>2.8462401874336076</v>
      </c>
      <c r="S18" s="48"/>
      <c r="T18" s="71">
        <f>SUM(T9:T11)+T4</f>
        <v>1122307429.4071491</v>
      </c>
      <c r="U18" s="71">
        <f t="shared" ref="U18:V18" si="27">SUM(U9:U11)+U4</f>
        <v>438308531.66046083</v>
      </c>
      <c r="V18" s="71">
        <f t="shared" si="27"/>
        <v>683998897.74668813</v>
      </c>
      <c r="W18" s="72">
        <f t="shared" ref="W18:W19" si="28">T18/U18</f>
        <v>2.5605420573390831</v>
      </c>
    </row>
    <row r="19" spans="1:23" x14ac:dyDescent="0.35">
      <c r="A19" s="73" t="s">
        <v>122</v>
      </c>
      <c r="B19" s="71">
        <f>B7+SUM(B13:B15)</f>
        <v>729051576.86981618</v>
      </c>
      <c r="C19" s="71">
        <f t="shared" ref="C19:G19" si="29">C7+SUM(C13:C15)</f>
        <v>392972488.52932781</v>
      </c>
      <c r="D19" s="71">
        <f t="shared" si="29"/>
        <v>82338404.060339257</v>
      </c>
      <c r="E19" s="71">
        <f t="shared" si="29"/>
        <v>31185643.52483926</v>
      </c>
      <c r="F19" s="71">
        <f t="shared" si="29"/>
        <v>213251506.45325035</v>
      </c>
      <c r="G19" s="71">
        <f t="shared" si="29"/>
        <v>313441421.01032621</v>
      </c>
      <c r="H19" s="81"/>
      <c r="I19" s="71">
        <f>I7+SUM(I13:I15)</f>
        <v>166318374.48523068</v>
      </c>
      <c r="J19" s="71">
        <f t="shared" ref="J19:M19" si="30">J7+SUM(J13:J15)</f>
        <v>23003488.57796146</v>
      </c>
      <c r="K19" s="71">
        <f t="shared" si="30"/>
        <v>240978029.84670603</v>
      </c>
      <c r="L19" s="71">
        <f t="shared" si="30"/>
        <v>40054603.32167615</v>
      </c>
      <c r="M19" s="71">
        <f t="shared" si="30"/>
        <v>429825125.38435465</v>
      </c>
      <c r="N19" s="81"/>
      <c r="O19" s="71">
        <f>O7+SUM(O13:O15)</f>
        <v>1762241040.4478991</v>
      </c>
      <c r="P19" s="71">
        <f t="shared" ref="P19:Q19" si="31">P7+SUM(P13:P15)</f>
        <v>619146988.44754672</v>
      </c>
      <c r="Q19" s="71">
        <f t="shared" si="31"/>
        <v>1143094052.0003521</v>
      </c>
      <c r="R19" s="72">
        <f>O19/P19</f>
        <v>2.8462401874336076</v>
      </c>
      <c r="S19" s="81"/>
      <c r="T19" s="71">
        <f>T7+SUM(T13:T15)</f>
        <v>1204362469.4594834</v>
      </c>
      <c r="U19" s="71">
        <f t="shared" ref="U19:V19" si="32">U7+SUM(U13:U15)</f>
        <v>470354496.2315743</v>
      </c>
      <c r="V19" s="71">
        <f t="shared" si="32"/>
        <v>734007973.22790909</v>
      </c>
      <c r="W19" s="72">
        <f t="shared" si="28"/>
        <v>2.5605420573390836</v>
      </c>
    </row>
    <row r="22" spans="1:23" x14ac:dyDescent="0.35">
      <c r="A22" s="69" t="s">
        <v>135</v>
      </c>
      <c r="B22" s="69" t="s">
        <v>136</v>
      </c>
    </row>
    <row r="23" spans="1:23" x14ac:dyDescent="0.35">
      <c r="A23" s="70" t="s">
        <v>123</v>
      </c>
      <c r="B23" s="82">
        <f>1/((1+0.0238)^1)</f>
        <v>0.97675327212346152</v>
      </c>
    </row>
    <row r="24" spans="1:23" x14ac:dyDescent="0.35">
      <c r="A24" s="70" t="s">
        <v>124</v>
      </c>
      <c r="B24" s="82">
        <f>1/((1+0.0238)^2)</f>
        <v>0.95404695460388889</v>
      </c>
    </row>
    <row r="25" spans="1:23" x14ac:dyDescent="0.35">
      <c r="A25" s="70" t="s">
        <v>125</v>
      </c>
      <c r="B25" s="82">
        <f>1/((1+0.0238)^3)</f>
        <v>0.93186848466877215</v>
      </c>
    </row>
    <row r="26" spans="1:23" ht="10.5" customHeight="1" x14ac:dyDescent="0.35">
      <c r="A26" s="68"/>
      <c r="B26" s="68"/>
    </row>
    <row r="27" spans="1:23" x14ac:dyDescent="0.35">
      <c r="A27" s="70" t="s">
        <v>128</v>
      </c>
      <c r="B27" s="83">
        <f>1/((1-0.0238)^3)</f>
        <v>1.0749384311464116</v>
      </c>
      <c r="C27" s="84">
        <f>1/((1+0.0238)^-3)</f>
        <v>1.0731128012720001</v>
      </c>
    </row>
    <row r="28" spans="1:23" x14ac:dyDescent="0.35">
      <c r="A28" s="70" t="s">
        <v>127</v>
      </c>
      <c r="B28" s="83">
        <f>1/((1-0.0238)^2)</f>
        <v>1.0493548964851271</v>
      </c>
      <c r="C28" s="84">
        <f>1/((1+0.0238)^-2)</f>
        <v>1.0481664400000001</v>
      </c>
    </row>
    <row r="29" spans="1:23" x14ac:dyDescent="0.35">
      <c r="A29" s="70" t="s">
        <v>126</v>
      </c>
      <c r="B29" s="83">
        <f>1/((1-0.0238)^1)</f>
        <v>1.0243802499487811</v>
      </c>
      <c r="C29" s="84">
        <f>1/((1+0.0238)^-1)</f>
        <v>1.0238</v>
      </c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AC5A-3B7B-4698-89DB-9D352B305FB6}">
  <dimension ref="A1:W15"/>
  <sheetViews>
    <sheetView workbookViewId="0">
      <selection activeCell="B32" sqref="B32"/>
    </sheetView>
  </sheetViews>
  <sheetFormatPr defaultRowHeight="14.5" x14ac:dyDescent="0.35"/>
  <cols>
    <col min="1" max="1" width="19.54296875" bestFit="1" customWidth="1"/>
    <col min="2" max="2" width="15.453125" bestFit="1" customWidth="1"/>
    <col min="3" max="3" width="14.1796875" bestFit="1" customWidth="1"/>
    <col min="4" max="4" width="14" bestFit="1" customWidth="1"/>
    <col min="5" max="5" width="12.81640625" bestFit="1" customWidth="1"/>
    <col min="6" max="6" width="14" bestFit="1" customWidth="1"/>
    <col min="7" max="7" width="14.1796875" bestFit="1" customWidth="1"/>
    <col min="8" max="8" width="2.7265625" customWidth="1"/>
    <col min="9" max="9" width="14.1796875" bestFit="1" customWidth="1"/>
    <col min="10" max="10" width="12.81640625" bestFit="1" customWidth="1"/>
    <col min="11" max="12" width="14" bestFit="1" customWidth="1"/>
    <col min="13" max="13" width="15" bestFit="1" customWidth="1"/>
    <col min="14" max="14" width="2.7265625" customWidth="1"/>
    <col min="15" max="15" width="18.7265625" bestFit="1" customWidth="1"/>
    <col min="16" max="16" width="15" bestFit="1" customWidth="1"/>
    <col min="17" max="17" width="15.453125" bestFit="1" customWidth="1"/>
    <col min="18" max="18" width="9.7265625" bestFit="1" customWidth="1"/>
    <col min="19" max="19" width="2.7265625" customWidth="1"/>
    <col min="20" max="20" width="15.453125" bestFit="1" customWidth="1"/>
    <col min="21" max="21" width="15" bestFit="1" customWidth="1"/>
    <col min="22" max="22" width="18.81640625" bestFit="1" customWidth="1"/>
    <col min="23" max="23" width="13" bestFit="1" customWidth="1"/>
  </cols>
  <sheetData>
    <row r="1" spans="1:23" x14ac:dyDescent="0.35">
      <c r="A1" s="105" t="s">
        <v>119</v>
      </c>
      <c r="B1" s="107" t="s">
        <v>12</v>
      </c>
      <c r="C1" s="108"/>
      <c r="D1" s="108"/>
      <c r="E1" s="108"/>
      <c r="F1" s="108"/>
      <c r="G1" s="109"/>
      <c r="H1" s="75"/>
      <c r="I1" s="107" t="s">
        <v>13</v>
      </c>
      <c r="J1" s="108"/>
      <c r="K1" s="108"/>
      <c r="L1" s="108"/>
      <c r="M1" s="109"/>
      <c r="N1" s="75"/>
      <c r="O1" s="107" t="s">
        <v>14</v>
      </c>
      <c r="P1" s="108"/>
      <c r="Q1" s="108"/>
      <c r="R1" s="109"/>
      <c r="S1" s="75"/>
      <c r="T1" s="107" t="s">
        <v>15</v>
      </c>
      <c r="U1" s="108"/>
      <c r="V1" s="108"/>
      <c r="W1" s="110"/>
    </row>
    <row r="2" spans="1:23" ht="27" x14ac:dyDescent="0.35">
      <c r="A2" s="106"/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1"/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1"/>
      <c r="O2" s="10" t="s">
        <v>27</v>
      </c>
      <c r="P2" s="10" t="s">
        <v>28</v>
      </c>
      <c r="Q2" s="10" t="s">
        <v>29</v>
      </c>
      <c r="R2" s="10" t="s">
        <v>30</v>
      </c>
      <c r="S2" s="11"/>
      <c r="T2" s="13" t="s">
        <v>31</v>
      </c>
      <c r="U2" s="13" t="s">
        <v>32</v>
      </c>
      <c r="V2" s="13" t="s">
        <v>33</v>
      </c>
      <c r="W2" s="76" t="s">
        <v>34</v>
      </c>
    </row>
    <row r="3" spans="1:23" x14ac:dyDescent="0.35">
      <c r="A3" s="77" t="s">
        <v>35</v>
      </c>
      <c r="B3" s="46" t="s">
        <v>36</v>
      </c>
      <c r="C3" s="46" t="s">
        <v>37</v>
      </c>
      <c r="D3" s="46" t="s">
        <v>38</v>
      </c>
      <c r="E3" s="46" t="s">
        <v>39</v>
      </c>
      <c r="F3" s="46" t="s">
        <v>72</v>
      </c>
      <c r="G3" s="46" t="s">
        <v>40</v>
      </c>
      <c r="H3" s="11"/>
      <c r="I3" s="46" t="s">
        <v>79</v>
      </c>
      <c r="J3" s="46" t="s">
        <v>41</v>
      </c>
      <c r="K3" s="46" t="s">
        <v>42</v>
      </c>
      <c r="L3" s="46" t="s">
        <v>43</v>
      </c>
      <c r="M3" s="46" t="s">
        <v>44</v>
      </c>
      <c r="N3" s="11"/>
      <c r="O3" s="46" t="s">
        <v>80</v>
      </c>
      <c r="P3" s="46" t="s">
        <v>81</v>
      </c>
      <c r="Q3" s="46" t="s">
        <v>82</v>
      </c>
      <c r="R3" s="46" t="s">
        <v>83</v>
      </c>
      <c r="S3" s="11"/>
      <c r="T3" s="46" t="s">
        <v>84</v>
      </c>
      <c r="U3" s="46" t="s">
        <v>85</v>
      </c>
      <c r="V3" s="46" t="s">
        <v>86</v>
      </c>
      <c r="W3" s="78" t="s">
        <v>87</v>
      </c>
    </row>
    <row r="4" spans="1:23" s="91" customFormat="1" ht="13.5" x14ac:dyDescent="0.35">
      <c r="A4" s="94">
        <v>2018</v>
      </c>
      <c r="B4" s="95" t="s">
        <v>59</v>
      </c>
      <c r="C4" s="95" t="s">
        <v>59</v>
      </c>
      <c r="D4" s="95" t="s">
        <v>59</v>
      </c>
      <c r="E4" s="95" t="s">
        <v>59</v>
      </c>
      <c r="F4" s="95" t="s">
        <v>59</v>
      </c>
      <c r="G4" s="95" t="s">
        <v>59</v>
      </c>
      <c r="H4" s="88"/>
      <c r="I4" s="95" t="s">
        <v>59</v>
      </c>
      <c r="J4" s="95" t="s">
        <v>59</v>
      </c>
      <c r="K4" s="95" t="s">
        <v>59</v>
      </c>
      <c r="L4" s="95" t="s">
        <v>59</v>
      </c>
      <c r="M4" s="95" t="s">
        <v>59</v>
      </c>
      <c r="N4" s="88"/>
      <c r="O4" s="95" t="s">
        <v>59</v>
      </c>
      <c r="P4" s="95" t="s">
        <v>59</v>
      </c>
      <c r="Q4" s="95" t="s">
        <v>59</v>
      </c>
      <c r="R4" s="101" t="s">
        <v>59</v>
      </c>
      <c r="S4" s="88"/>
      <c r="T4" s="95" t="s">
        <v>59</v>
      </c>
      <c r="U4" s="95" t="s">
        <v>59</v>
      </c>
      <c r="V4" s="95" t="s">
        <v>59</v>
      </c>
      <c r="W4" s="101" t="s">
        <v>59</v>
      </c>
    </row>
    <row r="5" spans="1:23" s="91" customFormat="1" ht="13.5" x14ac:dyDescent="0.35">
      <c r="A5" s="94">
        <v>2019</v>
      </c>
      <c r="B5" s="96">
        <f>'SAG Summary - Voltage Opt. ''19'!B4</f>
        <v>5808352.3032945702</v>
      </c>
      <c r="C5" s="96">
        <f>'SAG Summary - Voltage Opt. ''19'!C4</f>
        <v>1796664.1741744711</v>
      </c>
      <c r="D5" s="96">
        <f>'SAG Summary - Voltage Opt. ''19'!D4</f>
        <v>0</v>
      </c>
      <c r="E5" s="96">
        <f>'SAG Summary - Voltage Opt. ''19'!E4</f>
        <v>0</v>
      </c>
      <c r="F5" s="96">
        <f>'SAG Summary - Voltage Opt. ''19'!F4</f>
        <v>0</v>
      </c>
      <c r="G5" s="96">
        <f>'SAG Summary - Voltage Opt. ''19'!G4</f>
        <v>2643359.5232782443</v>
      </c>
      <c r="H5" s="48"/>
      <c r="I5" s="96">
        <f>'SAG Summary - Voltage Opt. ''19'!I4</f>
        <v>1149608.3999999999</v>
      </c>
      <c r="J5" s="96">
        <f>'SAG Summary - Voltage Opt. ''19'!J4</f>
        <v>0</v>
      </c>
      <c r="K5" s="96">
        <f>'SAG Summary - Voltage Opt. ''19'!K4</f>
        <v>0</v>
      </c>
      <c r="L5" s="96">
        <f>'SAG Summary - Voltage Opt. ''19'!L4</f>
        <v>0</v>
      </c>
      <c r="M5" s="96">
        <f>'SAG Summary - Voltage Opt. ''19'!M4</f>
        <v>1001484.8932575068</v>
      </c>
      <c r="N5" s="48"/>
      <c r="O5" s="96">
        <f>'SAG Summary - Voltage Opt. ''19'!O4</f>
        <v>10248376.000747286</v>
      </c>
      <c r="P5" s="96">
        <f>'SAG Summary - Voltage Opt. ''19'!P4</f>
        <v>2151093.2932575066</v>
      </c>
      <c r="Q5" s="96">
        <f>'SAG Summary - Voltage Opt. ''19'!Q4</f>
        <v>8097282.7074897792</v>
      </c>
      <c r="R5" s="17">
        <f>'SAG Summary - Voltage Opt. ''19'!R4</f>
        <v>4.7642638433536577</v>
      </c>
      <c r="S5" s="48"/>
      <c r="T5" s="96">
        <f>'SAG Summary - Voltage Opt. ''19'!T4</f>
        <v>7605016.477469041</v>
      </c>
      <c r="U5" s="96">
        <f>'SAG Summary - Voltage Opt. ''19'!U4</f>
        <v>2151093.2932575066</v>
      </c>
      <c r="V5" s="96">
        <f>'SAG Summary - Voltage Opt. ''19'!V4</f>
        <v>5453923.1842115344</v>
      </c>
      <c r="W5" s="17">
        <f>'SAG Summary - Voltage Opt. ''19'!W4</f>
        <v>3.5354191755915849</v>
      </c>
    </row>
    <row r="6" spans="1:23" s="91" customFormat="1" ht="13.5" x14ac:dyDescent="0.35">
      <c r="A6" s="94">
        <v>2020</v>
      </c>
      <c r="B6" s="96">
        <f>'SAG Summary - Voltage Opt. ''20'!B4</f>
        <v>50363657.945821457</v>
      </c>
      <c r="C6" s="96">
        <f>'SAG Summary - Voltage Opt. ''20'!C4</f>
        <v>29633354.232052799</v>
      </c>
      <c r="D6" s="96">
        <f>'SAG Summary - Voltage Opt. ''20'!D4</f>
        <v>0</v>
      </c>
      <c r="E6" s="96">
        <f>'SAG Summary - Voltage Opt. ''20'!E4</f>
        <v>0</v>
      </c>
      <c r="F6" s="96">
        <f>'SAG Summary - Voltage Opt. ''20'!F4</f>
        <v>0</v>
      </c>
      <c r="G6" s="96">
        <f>'SAG Summary - Voltage Opt. ''20'!G4</f>
        <v>24051723.700133234</v>
      </c>
      <c r="H6" s="48"/>
      <c r="I6" s="96">
        <f>'SAG Summary - Voltage Opt. ''20'!I4</f>
        <v>14430649.76</v>
      </c>
      <c r="J6" s="96">
        <f>'SAG Summary - Voltage Opt. ''20'!J4</f>
        <v>0</v>
      </c>
      <c r="K6" s="96">
        <f>'SAG Summary - Voltage Opt. ''20'!K4</f>
        <v>0</v>
      </c>
      <c r="L6" s="96">
        <f>'SAG Summary - Voltage Opt. ''20'!L4</f>
        <v>0</v>
      </c>
      <c r="M6" s="96">
        <f>'SAG Summary - Voltage Opt. ''20'!M4</f>
        <v>6546232.7197947558</v>
      </c>
      <c r="N6" s="48"/>
      <c r="O6" s="96">
        <f>'SAG Summary - Voltage Opt. ''20'!O4</f>
        <v>104048735.87800749</v>
      </c>
      <c r="P6" s="96">
        <f>'SAG Summary - Voltage Opt. ''20'!P4</f>
        <v>20976882.479794756</v>
      </c>
      <c r="Q6" s="96">
        <f>'SAG Summary - Voltage Opt. ''20'!Q4</f>
        <v>83071853.398212731</v>
      </c>
      <c r="R6" s="17">
        <f>'SAG Summary - Voltage Opt. ''20'!R4</f>
        <v>4.9601620249447826</v>
      </c>
      <c r="S6" s="48"/>
      <c r="T6" s="96">
        <f>'SAG Summary - Voltage Opt. ''20'!T4</f>
        <v>79997012.177874252</v>
      </c>
      <c r="U6" s="96">
        <f>'SAG Summary - Voltage Opt. ''20'!U4</f>
        <v>20976882.479794756</v>
      </c>
      <c r="V6" s="96">
        <f>'SAG Summary - Voltage Opt. ''20'!V4</f>
        <v>59020129.698079497</v>
      </c>
      <c r="W6" s="17">
        <f>'SAG Summary - Voltage Opt. ''20'!W4</f>
        <v>3.8135796515487255</v>
      </c>
    </row>
    <row r="7" spans="1:23" s="91" customFormat="1" ht="13.5" x14ac:dyDescent="0.35">
      <c r="A7" s="94">
        <v>2021</v>
      </c>
      <c r="B7" s="96">
        <f>'SAG Summary - Voltage Opt. ''21'!B4</f>
        <v>65700124.556080669</v>
      </c>
      <c r="C7" s="96">
        <f>'SAG Summary - Voltage Opt. ''21'!C4</f>
        <v>42045352.698298126</v>
      </c>
      <c r="D7" s="96">
        <f>'SAG Summary - Voltage Opt. ''21'!D4</f>
        <v>0</v>
      </c>
      <c r="E7" s="96">
        <f>'SAG Summary - Voltage Opt. ''21'!E4</f>
        <v>0</v>
      </c>
      <c r="F7" s="96">
        <f>'SAG Summary - Voltage Opt. ''21'!F4</f>
        <v>0</v>
      </c>
      <c r="G7" s="96">
        <f>'SAG Summary - Voltage Opt. ''21'!G4</f>
        <v>33110514.087557722</v>
      </c>
      <c r="H7" s="48"/>
      <c r="I7" s="96">
        <f>'SAG Summary - Voltage Opt. ''21'!I4</f>
        <v>21407601.206303723</v>
      </c>
      <c r="J7" s="96">
        <f>'SAG Summary - Voltage Opt. ''21'!J4</f>
        <v>0</v>
      </c>
      <c r="K7" s="96">
        <f>'SAG Summary - Voltage Opt. ''21'!K4</f>
        <v>0</v>
      </c>
      <c r="L7" s="96">
        <f>'SAG Summary - Voltage Opt. ''21'!L4</f>
        <v>0</v>
      </c>
      <c r="M7" s="96">
        <f>'SAG Summary - Voltage Opt. ''21'!M4</f>
        <v>9633468.3975251243</v>
      </c>
      <c r="N7" s="48"/>
      <c r="O7" s="96">
        <f>'SAG Summary - Voltage Opt. ''21'!O4</f>
        <v>140855991.34193653</v>
      </c>
      <c r="P7" s="96">
        <f>'SAG Summary - Voltage Opt. ''21'!P4</f>
        <v>31041069.603828847</v>
      </c>
      <c r="Q7" s="96">
        <f>'SAG Summary - Voltage Opt. ''21'!Q4</f>
        <v>109814921.73810768</v>
      </c>
      <c r="R7" s="17">
        <f>'SAG Summary - Voltage Opt. ''21'!R4</f>
        <v>4.5377299538854245</v>
      </c>
      <c r="S7" s="48"/>
      <c r="T7" s="96">
        <f>'SAG Summary - Voltage Opt. ''21'!T4</f>
        <v>107745477.2543788</v>
      </c>
      <c r="U7" s="96">
        <f>'SAG Summary - Voltage Opt. ''21'!U4</f>
        <v>31041069.603828847</v>
      </c>
      <c r="V7" s="96">
        <f>'SAG Summary - Voltage Opt. ''21'!V4</f>
        <v>76704407.650549948</v>
      </c>
      <c r="W7" s="17">
        <f>'SAG Summary - Voltage Opt. ''21'!W4</f>
        <v>3.4710620036459257</v>
      </c>
    </row>
    <row r="8" spans="1:23" s="91" customFormat="1" ht="13.5" x14ac:dyDescent="0.35">
      <c r="A8" s="79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80"/>
    </row>
    <row r="9" spans="1:23" s="92" customFormat="1" ht="13.5" x14ac:dyDescent="0.35">
      <c r="A9" s="97" t="s">
        <v>138</v>
      </c>
      <c r="B9" s="98">
        <f>B7+(B6*$B$15)+(B5*$B$14)</f>
        <v>123386684.000929</v>
      </c>
      <c r="C9" s="98">
        <f t="shared" ref="C9:V9" si="0">C7+(C6*$B$15)+(C5*$B$14)</f>
        <v>74286513.861858532</v>
      </c>
      <c r="D9" s="98">
        <f t="shared" si="0"/>
        <v>0</v>
      </c>
      <c r="E9" s="98">
        <f t="shared" si="0"/>
        <v>0</v>
      </c>
      <c r="F9" s="98">
        <f t="shared" si="0"/>
        <v>0</v>
      </c>
      <c r="G9" s="98">
        <f t="shared" si="0"/>
        <v>60522447.082121842</v>
      </c>
      <c r="H9" s="81"/>
      <c r="I9" s="98">
        <f t="shared" si="0"/>
        <v>37396421.017956272</v>
      </c>
      <c r="J9" s="98">
        <f t="shared" si="0"/>
        <v>0</v>
      </c>
      <c r="K9" s="98">
        <f t="shared" si="0"/>
        <v>0</v>
      </c>
      <c r="L9" s="98">
        <f t="shared" si="0"/>
        <v>0</v>
      </c>
      <c r="M9" s="98">
        <f t="shared" si="0"/>
        <v>17390212.983747017</v>
      </c>
      <c r="N9" s="81"/>
      <c r="O9" s="98">
        <f t="shared" si="0"/>
        <v>258195644.94490939</v>
      </c>
      <c r="P9" s="98">
        <f t="shared" si="0"/>
        <v>54786634.001703285</v>
      </c>
      <c r="Q9" s="98">
        <f t="shared" si="0"/>
        <v>203409010.94320607</v>
      </c>
      <c r="R9" s="102">
        <f>O9/P9</f>
        <v>4.7127488236799184</v>
      </c>
      <c r="S9" s="81"/>
      <c r="T9" s="98">
        <f t="shared" si="0"/>
        <v>197673197.86278749</v>
      </c>
      <c r="U9" s="98">
        <f t="shared" si="0"/>
        <v>54786634.001703285</v>
      </c>
      <c r="V9" s="98">
        <f t="shared" si="0"/>
        <v>142886563.86108425</v>
      </c>
      <c r="W9" s="102">
        <f>T9/U9</f>
        <v>3.6080551664597964</v>
      </c>
    </row>
    <row r="12" spans="1:23" x14ac:dyDescent="0.35">
      <c r="A12" s="100" t="s">
        <v>135</v>
      </c>
      <c r="B12" s="100" t="s">
        <v>136</v>
      </c>
    </row>
    <row r="13" spans="1:23" s="91" customFormat="1" ht="13.5" x14ac:dyDescent="0.35">
      <c r="A13" s="15" t="s">
        <v>128</v>
      </c>
      <c r="B13" s="99">
        <f>1/((1-0.0238)^3)</f>
        <v>1.0749384311464116</v>
      </c>
    </row>
    <row r="14" spans="1:23" s="91" customFormat="1" ht="13.5" x14ac:dyDescent="0.35">
      <c r="A14" s="15" t="s">
        <v>127</v>
      </c>
      <c r="B14" s="99">
        <f>1/((1-0.0238)^2)</f>
        <v>1.0493548964851271</v>
      </c>
    </row>
    <row r="15" spans="1:23" s="91" customFormat="1" ht="13.5" x14ac:dyDescent="0.35">
      <c r="A15" s="15" t="s">
        <v>126</v>
      </c>
      <c r="B15" s="99">
        <f>1/((1-0.0238)^1)</f>
        <v>1.0243802499487811</v>
      </c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7845-78CF-49F2-BE7A-5C33F1E26302}">
  <sheetPr>
    <tabColor theme="3"/>
  </sheetPr>
  <dimension ref="A1"/>
  <sheetViews>
    <sheetView workbookViewId="0">
      <selection activeCell="I27" sqref="I27"/>
    </sheetView>
  </sheetViews>
  <sheetFormatPr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B67D-CACF-4348-822D-EE4FA9E0B7E6}">
  <sheetPr>
    <tabColor theme="5"/>
  </sheetPr>
  <dimension ref="A1"/>
  <sheetViews>
    <sheetView workbookViewId="0">
      <selection activeCell="F22" sqref="F22"/>
    </sheetView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7356A-527D-4EE0-A88F-7D64F3EAB064}">
  <dimension ref="A1:W34"/>
  <sheetViews>
    <sheetView topLeftCell="A6" zoomScale="90" zoomScaleNormal="90" workbookViewId="0">
      <selection activeCell="E23" sqref="E23"/>
    </sheetView>
  </sheetViews>
  <sheetFormatPr defaultRowHeight="14.5" x14ac:dyDescent="0.35"/>
  <cols>
    <col min="1" max="1" width="62.54296875" bestFit="1" customWidth="1"/>
    <col min="2" max="3" width="18.7265625" bestFit="1" customWidth="1"/>
    <col min="4" max="7" width="17.26953125" bestFit="1" customWidth="1"/>
    <col min="8" max="8" width="1.7265625" customWidth="1"/>
    <col min="9" max="9" width="17.26953125" bestFit="1" customWidth="1"/>
    <col min="10" max="10" width="16" bestFit="1" customWidth="1"/>
    <col min="11" max="11" width="17.26953125" bestFit="1" customWidth="1"/>
    <col min="12" max="12" width="16" bestFit="1" customWidth="1"/>
    <col min="13" max="13" width="18.7265625" bestFit="1" customWidth="1"/>
    <col min="14" max="14" width="1.7265625" customWidth="1"/>
    <col min="15" max="15" width="21.7265625" bestFit="1" customWidth="1"/>
    <col min="16" max="17" width="20" bestFit="1" customWidth="1"/>
    <col min="18" max="18" width="9.1796875" bestFit="1" customWidth="1"/>
    <col min="19" max="19" width="1.7265625" customWidth="1"/>
    <col min="20" max="20" width="18.81640625" bestFit="1" customWidth="1"/>
    <col min="21" max="21" width="18.7265625" bestFit="1" customWidth="1"/>
    <col min="22" max="22" width="18.81640625" bestFit="1" customWidth="1"/>
    <col min="23" max="23" width="12.7265625" bestFit="1" customWidth="1"/>
  </cols>
  <sheetData>
    <row r="1" spans="1:23" x14ac:dyDescent="0.35">
      <c r="A1" s="111" t="s">
        <v>11</v>
      </c>
      <c r="B1" s="113" t="s">
        <v>12</v>
      </c>
      <c r="C1" s="114"/>
      <c r="D1" s="114"/>
      <c r="E1" s="114"/>
      <c r="F1" s="114"/>
      <c r="G1" s="115"/>
      <c r="H1" s="8"/>
      <c r="I1" s="113" t="s">
        <v>13</v>
      </c>
      <c r="J1" s="114"/>
      <c r="K1" s="114"/>
      <c r="L1" s="114"/>
      <c r="M1" s="115"/>
      <c r="N1" s="8"/>
      <c r="O1" s="113" t="s">
        <v>14</v>
      </c>
      <c r="P1" s="114"/>
      <c r="Q1" s="114"/>
      <c r="R1" s="115"/>
      <c r="S1" s="8"/>
      <c r="T1" s="113" t="s">
        <v>15</v>
      </c>
      <c r="U1" s="114"/>
      <c r="V1" s="114"/>
      <c r="W1" s="115"/>
    </row>
    <row r="2" spans="1:23" ht="27" x14ac:dyDescent="0.35">
      <c r="A2" s="112"/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1"/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1"/>
      <c r="O2" s="10" t="s">
        <v>27</v>
      </c>
      <c r="P2" s="10" t="s">
        <v>28</v>
      </c>
      <c r="Q2" s="10" t="s">
        <v>29</v>
      </c>
      <c r="R2" s="10" t="s">
        <v>30</v>
      </c>
      <c r="S2" s="11"/>
      <c r="T2" s="13" t="s">
        <v>31</v>
      </c>
      <c r="U2" s="13" t="s">
        <v>32</v>
      </c>
      <c r="V2" s="13" t="s">
        <v>33</v>
      </c>
      <c r="W2" s="13" t="s">
        <v>34</v>
      </c>
    </row>
    <row r="3" spans="1:23" x14ac:dyDescent="0.35">
      <c r="A3" s="14" t="s">
        <v>35</v>
      </c>
      <c r="B3" s="14" t="s">
        <v>36</v>
      </c>
      <c r="C3" s="14" t="s">
        <v>37</v>
      </c>
      <c r="D3" s="14" t="s">
        <v>38</v>
      </c>
      <c r="E3" s="14" t="s">
        <v>39</v>
      </c>
      <c r="F3" s="14" t="s">
        <v>72</v>
      </c>
      <c r="G3" s="14" t="s">
        <v>40</v>
      </c>
      <c r="H3" s="11"/>
      <c r="I3" s="14" t="s">
        <v>79</v>
      </c>
      <c r="J3" s="14" t="s">
        <v>41</v>
      </c>
      <c r="K3" s="14" t="s">
        <v>42</v>
      </c>
      <c r="L3" s="14" t="s">
        <v>43</v>
      </c>
      <c r="M3" s="14" t="s">
        <v>44</v>
      </c>
      <c r="N3" s="11"/>
      <c r="O3" s="14" t="s">
        <v>80</v>
      </c>
      <c r="P3" s="14" t="s">
        <v>81</v>
      </c>
      <c r="Q3" s="14" t="s">
        <v>82</v>
      </c>
      <c r="R3" s="14" t="s">
        <v>83</v>
      </c>
      <c r="S3" s="11"/>
      <c r="T3" s="14" t="s">
        <v>84</v>
      </c>
      <c r="U3" s="14" t="s">
        <v>85</v>
      </c>
      <c r="V3" s="14" t="s">
        <v>86</v>
      </c>
      <c r="W3" s="14" t="s">
        <v>87</v>
      </c>
    </row>
    <row r="4" spans="1:23" x14ac:dyDescent="0.35">
      <c r="A4" s="15" t="s">
        <v>45</v>
      </c>
      <c r="B4" s="16">
        <v>48775030.832120687</v>
      </c>
      <c r="C4" s="16">
        <v>29987930.269714739</v>
      </c>
      <c r="D4" s="16">
        <v>13019483.81118414</v>
      </c>
      <c r="E4" s="16">
        <v>11107490.875088355</v>
      </c>
      <c r="F4" s="16">
        <v>15047600.218004186</v>
      </c>
      <c r="G4" s="16">
        <v>20591063.241603374</v>
      </c>
      <c r="H4" s="11"/>
      <c r="I4" s="16">
        <v>16619142.165750068</v>
      </c>
      <c r="J4" s="16">
        <v>2497216.9803068996</v>
      </c>
      <c r="K4" s="16">
        <v>17703468.693500005</v>
      </c>
      <c r="L4" s="16">
        <v>6206311.3158000018</v>
      </c>
      <c r="M4" s="16">
        <v>27939774.315651003</v>
      </c>
      <c r="N4" s="11"/>
      <c r="O4" s="16">
        <v>138528599.24771547</v>
      </c>
      <c r="P4" s="16">
        <v>47056133.461707972</v>
      </c>
      <c r="Q4" s="16">
        <v>91472465.786007494</v>
      </c>
      <c r="R4" s="17">
        <v>2.9439010189913586</v>
      </c>
      <c r="S4" s="11"/>
      <c r="T4" s="16">
        <v>91782444.913019568</v>
      </c>
      <c r="U4" s="16">
        <v>43026139.155356981</v>
      </c>
      <c r="V4" s="18">
        <v>48756305.757662587</v>
      </c>
      <c r="W4" s="19">
        <v>2.1331787307621388</v>
      </c>
    </row>
    <row r="5" spans="1:23" x14ac:dyDescent="0.35">
      <c r="A5" s="20" t="s">
        <v>46</v>
      </c>
      <c r="B5" s="21">
        <v>18909851.655970313</v>
      </c>
      <c r="C5" s="21">
        <v>11965918.799717508</v>
      </c>
      <c r="D5" s="21">
        <v>7046594.9437134741</v>
      </c>
      <c r="E5" s="21">
        <v>1154473.6064268507</v>
      </c>
      <c r="F5" s="21">
        <v>4706032.6287240013</v>
      </c>
      <c r="G5" s="21">
        <v>7767750.1613840265</v>
      </c>
      <c r="H5" s="22"/>
      <c r="I5" s="21">
        <v>2374749.5478355493</v>
      </c>
      <c r="J5" s="21">
        <v>339308.06763764995</v>
      </c>
      <c r="K5" s="21">
        <v>4271849.2300000004</v>
      </c>
      <c r="L5" s="21">
        <v>1508070.56</v>
      </c>
      <c r="M5" s="21">
        <v>4125053.8126789392</v>
      </c>
      <c r="N5" s="22"/>
      <c r="O5" s="16">
        <v>51550621.795936167</v>
      </c>
      <c r="P5" s="21">
        <v>6839111.4281521384</v>
      </c>
      <c r="Q5" s="21">
        <v>44711510.367784031</v>
      </c>
      <c r="R5" s="23">
        <v>7.5376198117983648</v>
      </c>
      <c r="S5" s="22"/>
      <c r="T5" s="16">
        <v>37922365.399401292</v>
      </c>
      <c r="U5" s="21">
        <v>8493977.4054732006</v>
      </c>
      <c r="V5" s="24">
        <v>29428387.99392809</v>
      </c>
      <c r="W5" s="25">
        <v>4.4646181157681841</v>
      </c>
    </row>
    <row r="6" spans="1:23" x14ac:dyDescent="0.35">
      <c r="A6" s="20" t="s">
        <v>47</v>
      </c>
      <c r="B6" s="21">
        <v>10558726.189518567</v>
      </c>
      <c r="C6" s="21">
        <v>4445288.5941421641</v>
      </c>
      <c r="D6" s="21">
        <v>-2384300.3694430981</v>
      </c>
      <c r="E6" s="21">
        <v>0</v>
      </c>
      <c r="F6" s="21">
        <v>6744626.2640025625</v>
      </c>
      <c r="G6" s="21">
        <v>4351858.0359960403</v>
      </c>
      <c r="H6" s="22"/>
      <c r="I6" s="21">
        <v>792098.61600000004</v>
      </c>
      <c r="J6" s="21">
        <v>101487.85</v>
      </c>
      <c r="K6" s="21">
        <v>1922065.4200000002</v>
      </c>
      <c r="L6" s="21">
        <v>119154.01000000001</v>
      </c>
      <c r="M6" s="21">
        <v>2271791.726364275</v>
      </c>
      <c r="N6" s="22"/>
      <c r="O6" s="16">
        <v>23716198.71421624</v>
      </c>
      <c r="P6" s="21">
        <v>3165378.192364275</v>
      </c>
      <c r="Q6" s="21">
        <v>20550820.521851964</v>
      </c>
      <c r="R6" s="23">
        <v>7.4923744566844972</v>
      </c>
      <c r="S6" s="22"/>
      <c r="T6" s="16">
        <v>12619714.414217634</v>
      </c>
      <c r="U6" s="21">
        <v>2934805.8959999997</v>
      </c>
      <c r="V6" s="24">
        <v>9684908.5182176344</v>
      </c>
      <c r="W6" s="25">
        <v>4.3000167170911379</v>
      </c>
    </row>
    <row r="7" spans="1:23" x14ac:dyDescent="0.35">
      <c r="A7" s="26" t="s">
        <v>48</v>
      </c>
      <c r="B7" s="21">
        <v>4576250.1385058425</v>
      </c>
      <c r="C7" s="21">
        <v>2902981.9015793381</v>
      </c>
      <c r="D7" s="21">
        <v>4110276.3514254726</v>
      </c>
      <c r="E7" s="21">
        <v>3930545.4654334034</v>
      </c>
      <c r="F7" s="21">
        <v>1202124.2373500001</v>
      </c>
      <c r="G7" s="21">
        <v>2028924.3177871464</v>
      </c>
      <c r="H7" s="22"/>
      <c r="I7" s="21">
        <v>4485563.2575199502</v>
      </c>
      <c r="J7" s="21">
        <v>857671.14513811166</v>
      </c>
      <c r="K7" s="21">
        <v>4215028.1703000003</v>
      </c>
      <c r="L7" s="21">
        <v>3617863.7781000007</v>
      </c>
      <c r="M7" s="21">
        <v>13078567.500667758</v>
      </c>
      <c r="N7" s="22"/>
      <c r="O7" s="16">
        <v>18751102.412081204</v>
      </c>
      <c r="P7" s="27">
        <v>18421801.903325818</v>
      </c>
      <c r="Q7" s="27">
        <v>329300.50875538588</v>
      </c>
      <c r="R7" s="28">
        <v>1.0178755862473983</v>
      </c>
      <c r="S7" s="22"/>
      <c r="T7" s="16">
        <v>11589508.391510654</v>
      </c>
      <c r="U7" s="27">
        <v>13176126.351058064</v>
      </c>
      <c r="V7" s="29">
        <v>-1586617.9595474098</v>
      </c>
      <c r="W7" s="30">
        <v>0.8795838839675364</v>
      </c>
    </row>
    <row r="8" spans="1:23" x14ac:dyDescent="0.35">
      <c r="A8" s="26" t="s">
        <v>49</v>
      </c>
      <c r="B8" s="21">
        <v>450732.45347042213</v>
      </c>
      <c r="C8" s="21">
        <v>564763.50990705332</v>
      </c>
      <c r="D8" s="21">
        <v>644585.74496624363</v>
      </c>
      <c r="E8" s="21">
        <v>54371.260758321674</v>
      </c>
      <c r="F8" s="21">
        <v>65629.581299999991</v>
      </c>
      <c r="G8" s="21">
        <v>235513.21487804671</v>
      </c>
      <c r="H8" s="22"/>
      <c r="I8" s="21">
        <v>1402530.0440106399</v>
      </c>
      <c r="J8" s="21">
        <v>250662.48708735799</v>
      </c>
      <c r="K8" s="21">
        <v>1004642.53</v>
      </c>
      <c r="L8" s="21">
        <v>463424.44</v>
      </c>
      <c r="M8" s="21">
        <v>2579391.1570280078</v>
      </c>
      <c r="N8" s="22"/>
      <c r="O8" s="16">
        <v>2015595.7652800875</v>
      </c>
      <c r="P8" s="27">
        <v>4232583.6881260052</v>
      </c>
      <c r="Q8" s="27">
        <v>-2216987.9228459178</v>
      </c>
      <c r="R8" s="28">
        <v>0.4762093118051261</v>
      </c>
      <c r="S8" s="22"/>
      <c r="T8" s="16">
        <v>1660081.7083437191</v>
      </c>
      <c r="U8" s="27">
        <v>3121259.5010979981</v>
      </c>
      <c r="V8" s="29">
        <v>-1461177.792754279</v>
      </c>
      <c r="W8" s="30">
        <v>0.53186276493823559</v>
      </c>
    </row>
    <row r="9" spans="1:23" x14ac:dyDescent="0.35">
      <c r="A9" s="26" t="s">
        <v>50</v>
      </c>
      <c r="B9" s="21">
        <v>2058058.2507020514</v>
      </c>
      <c r="C9" s="21">
        <v>1028104.0348130165</v>
      </c>
      <c r="D9" s="21">
        <v>128893.02274339065</v>
      </c>
      <c r="E9" s="21">
        <v>1103610.906736071</v>
      </c>
      <c r="F9" s="21">
        <v>407898.81</v>
      </c>
      <c r="G9" s="21">
        <v>925463.66619947681</v>
      </c>
      <c r="H9" s="22"/>
      <c r="I9" s="21">
        <v>823310.8550079799</v>
      </c>
      <c r="J9" s="21">
        <v>129081.64994048001</v>
      </c>
      <c r="K9" s="21">
        <v>1305082.7635999997</v>
      </c>
      <c r="L9" s="21">
        <v>22772.702700000002</v>
      </c>
      <c r="M9" s="21">
        <v>400178.57195867092</v>
      </c>
      <c r="N9" s="22"/>
      <c r="O9" s="16">
        <v>5652028.6911940062</v>
      </c>
      <c r="P9" s="27">
        <v>1352571.0769071309</v>
      </c>
      <c r="Q9" s="27">
        <v>4299457.6142868754</v>
      </c>
      <c r="R9" s="28">
        <v>4.1787295231229322</v>
      </c>
      <c r="S9" s="22"/>
      <c r="T9" s="16">
        <v>3215055.308258459</v>
      </c>
      <c r="U9" s="27">
        <v>2280247.9712484595</v>
      </c>
      <c r="V9" s="29">
        <v>934807.33700999944</v>
      </c>
      <c r="W9" s="30">
        <v>1.4099586311650933</v>
      </c>
    </row>
    <row r="10" spans="1:23" x14ac:dyDescent="0.35">
      <c r="A10" s="20" t="s">
        <v>51</v>
      </c>
      <c r="B10" s="21">
        <v>2277523.2704717731</v>
      </c>
      <c r="C10" s="21">
        <v>2314490.9672470493</v>
      </c>
      <c r="D10" s="21">
        <v>2476127.2454730105</v>
      </c>
      <c r="E10" s="21">
        <v>0</v>
      </c>
      <c r="F10" s="21">
        <v>0</v>
      </c>
      <c r="G10" s="21">
        <v>1002269.2374186406</v>
      </c>
      <c r="H10" s="22"/>
      <c r="I10" s="21">
        <v>783014.33499999996</v>
      </c>
      <c r="J10" s="21">
        <v>150362.68085596</v>
      </c>
      <c r="K10" s="21">
        <v>1580687.9350000001</v>
      </c>
      <c r="L10" s="21">
        <v>39804.215000000004</v>
      </c>
      <c r="M10" s="21">
        <v>1047567.17</v>
      </c>
      <c r="N10" s="22"/>
      <c r="O10" s="16">
        <v>8070410.7206104733</v>
      </c>
      <c r="P10" s="21">
        <v>1980944.18585596</v>
      </c>
      <c r="Q10" s="21">
        <v>6089466.5347545128</v>
      </c>
      <c r="R10" s="23">
        <v>4.0740222658637268</v>
      </c>
      <c r="S10" s="22"/>
      <c r="T10" s="16">
        <v>7068141.4831918329</v>
      </c>
      <c r="U10" s="21">
        <v>2553869.16585596</v>
      </c>
      <c r="V10" s="24">
        <v>4514272.3173358729</v>
      </c>
      <c r="W10" s="25">
        <v>2.7676208232158439</v>
      </c>
    </row>
    <row r="11" spans="1:23" x14ac:dyDescent="0.35">
      <c r="A11" s="20" t="s">
        <v>52</v>
      </c>
      <c r="B11" s="21">
        <v>500485.45800493378</v>
      </c>
      <c r="C11" s="21">
        <v>65325.766563902216</v>
      </c>
      <c r="D11" s="21">
        <v>42539.686321884692</v>
      </c>
      <c r="E11" s="21">
        <v>203423.46874274604</v>
      </c>
      <c r="F11" s="21">
        <v>81489.069999999992</v>
      </c>
      <c r="G11" s="21">
        <v>247494.27868178216</v>
      </c>
      <c r="H11" s="22"/>
      <c r="I11" s="21">
        <v>828529.14767375996</v>
      </c>
      <c r="J11" s="21">
        <v>149530.10594048002</v>
      </c>
      <c r="K11" s="21">
        <v>542440.35059999989</v>
      </c>
      <c r="L11" s="21">
        <v>14777.42</v>
      </c>
      <c r="M11" s="21">
        <v>171426.43828195333</v>
      </c>
      <c r="N11" s="22"/>
      <c r="O11" s="16">
        <v>1140757.7283152489</v>
      </c>
      <c r="P11" s="21">
        <v>1149485.6918961932</v>
      </c>
      <c r="Q11" s="21">
        <v>-8727.9635809443425</v>
      </c>
      <c r="R11" s="23">
        <v>0.99240707070781653</v>
      </c>
      <c r="S11" s="22"/>
      <c r="T11" s="16">
        <v>608350.91089072078</v>
      </c>
      <c r="U11" s="21">
        <v>1535277.0242142398</v>
      </c>
      <c r="V11" s="24">
        <v>-926926.11332351901</v>
      </c>
      <c r="W11" s="25">
        <v>0.39624830001092276</v>
      </c>
    </row>
    <row r="12" spans="1:23" x14ac:dyDescent="0.35">
      <c r="A12" s="20" t="s">
        <v>53</v>
      </c>
      <c r="B12" s="21">
        <v>639572.91989849322</v>
      </c>
      <c r="C12" s="21">
        <v>294550.69885755377</v>
      </c>
      <c r="D12" s="21">
        <v>61633.353493111877</v>
      </c>
      <c r="E12" s="21">
        <v>301928.72433633823</v>
      </c>
      <c r="F12" s="21">
        <v>97232.006399999998</v>
      </c>
      <c r="G12" s="21">
        <v>278840.68006818224</v>
      </c>
      <c r="H12" s="22"/>
      <c r="I12" s="21">
        <v>635283.5651724299</v>
      </c>
      <c r="J12" s="21">
        <v>128972.82944048</v>
      </c>
      <c r="K12" s="21">
        <v>222808.61400000006</v>
      </c>
      <c r="L12" s="21">
        <v>13362.489999999998</v>
      </c>
      <c r="M12" s="21">
        <v>179227.27761800931</v>
      </c>
      <c r="N12" s="22"/>
      <c r="O12" s="16">
        <v>1673758.3830536795</v>
      </c>
      <c r="P12" s="21">
        <v>943483.67223091912</v>
      </c>
      <c r="Q12" s="21">
        <v>730274.71082276036</v>
      </c>
      <c r="R12" s="23">
        <v>1.7740194476243405</v>
      </c>
      <c r="S12" s="22"/>
      <c r="T12" s="16">
        <v>995756.97224915889</v>
      </c>
      <c r="U12" s="21">
        <v>1000427.4986129099</v>
      </c>
      <c r="V12" s="24">
        <v>-4670.5263637510361</v>
      </c>
      <c r="W12" s="25">
        <v>0.99533146942659345</v>
      </c>
    </row>
    <row r="13" spans="1:23" x14ac:dyDescent="0.35">
      <c r="A13" s="20" t="s">
        <v>75</v>
      </c>
      <c r="B13" s="21">
        <v>74105.165398266836</v>
      </c>
      <c r="C13" s="21">
        <v>141840.09288095639</v>
      </c>
      <c r="D13" s="21">
        <v>214835.97426605411</v>
      </c>
      <c r="E13" s="21">
        <v>0</v>
      </c>
      <c r="F13" s="21">
        <v>1234.008</v>
      </c>
      <c r="G13" s="21">
        <v>37869.855395267674</v>
      </c>
      <c r="H13" s="22"/>
      <c r="I13" s="21">
        <v>547989.5430079801</v>
      </c>
      <c r="J13" s="21">
        <v>173122.09846354998</v>
      </c>
      <c r="K13" s="21">
        <v>53675.149999999994</v>
      </c>
      <c r="L13" s="21">
        <v>67745.600000000006</v>
      </c>
      <c r="M13" s="21">
        <v>252440.43479309281</v>
      </c>
      <c r="N13" s="22"/>
      <c r="O13" s="16">
        <v>469885.09594054497</v>
      </c>
      <c r="P13" s="21">
        <v>973552.07626462285</v>
      </c>
      <c r="Q13" s="21">
        <v>-503666.98032407789</v>
      </c>
      <c r="R13" s="23">
        <v>0.48265019139338233</v>
      </c>
      <c r="S13" s="22"/>
      <c r="T13" s="16">
        <v>430781.23254527734</v>
      </c>
      <c r="U13" s="21">
        <v>842532.39147153008</v>
      </c>
      <c r="V13" s="24">
        <v>-411751.15892625274</v>
      </c>
      <c r="W13" s="25">
        <v>0.51129337804199282</v>
      </c>
    </row>
    <row r="14" spans="1:23" x14ac:dyDescent="0.35">
      <c r="A14" s="20" t="s">
        <v>54</v>
      </c>
      <c r="B14" s="21">
        <v>1837874.8012194373</v>
      </c>
      <c r="C14" s="21">
        <v>3202883.7629637155</v>
      </c>
      <c r="D14" s="21">
        <v>276004.41209568054</v>
      </c>
      <c r="E14" s="21">
        <v>0</v>
      </c>
      <c r="F14" s="21">
        <v>0</v>
      </c>
      <c r="G14" s="21">
        <v>952420.21059414046</v>
      </c>
      <c r="H14" s="22"/>
      <c r="I14" s="21">
        <v>1328623.2456817403</v>
      </c>
      <c r="J14" s="21">
        <v>32732</v>
      </c>
      <c r="K14" s="21">
        <v>1008970.56</v>
      </c>
      <c r="L14" s="21">
        <v>29564</v>
      </c>
      <c r="M14" s="21">
        <v>1373728.5242192883</v>
      </c>
      <c r="N14" s="22"/>
      <c r="O14" s="16">
        <v>6269183.186872974</v>
      </c>
      <c r="P14" s="21">
        <v>2735083.7699010288</v>
      </c>
      <c r="Q14" s="21">
        <v>3534099.4169719452</v>
      </c>
      <c r="R14" s="23">
        <v>2.2921357129400937</v>
      </c>
      <c r="S14" s="22"/>
      <c r="T14" s="16">
        <v>5316762.976278834</v>
      </c>
      <c r="U14" s="21">
        <v>2399889.8056817404</v>
      </c>
      <c r="V14" s="24">
        <v>2916873.1705970936</v>
      </c>
      <c r="W14" s="25">
        <v>2.2154196262225851</v>
      </c>
    </row>
    <row r="15" spans="1:23" x14ac:dyDescent="0.35">
      <c r="A15" s="20" t="s">
        <v>55</v>
      </c>
      <c r="B15" s="21">
        <v>1216997.2287886289</v>
      </c>
      <c r="C15" s="21">
        <v>518657.8027843943</v>
      </c>
      <c r="D15" s="21">
        <v>62832.96382224471</v>
      </c>
      <c r="E15" s="21">
        <v>1032529.7339952214</v>
      </c>
      <c r="F15" s="21">
        <v>55356.629856000014</v>
      </c>
      <c r="G15" s="21">
        <v>440981.52219607623</v>
      </c>
      <c r="H15" s="22"/>
      <c r="I15" s="21">
        <v>1441310.9316711</v>
      </c>
      <c r="J15" s="21">
        <v>5230.6899999999996</v>
      </c>
      <c r="K15" s="21">
        <v>391572.57</v>
      </c>
      <c r="L15" s="21">
        <v>13967.28</v>
      </c>
      <c r="M15" s="21">
        <v>662019.81000000006</v>
      </c>
      <c r="N15" s="22"/>
      <c r="O15" s="16">
        <v>3327355.8814425659</v>
      </c>
      <c r="P15" s="21">
        <v>2108561.4316710997</v>
      </c>
      <c r="Q15" s="21">
        <v>1218794.4497714662</v>
      </c>
      <c r="R15" s="23">
        <v>1.5780217884406309</v>
      </c>
      <c r="S15" s="22"/>
      <c r="T15" s="16">
        <v>1798487.9953952678</v>
      </c>
      <c r="U15" s="21">
        <v>1852081.4716711</v>
      </c>
      <c r="V15" s="24">
        <v>-53593.476275832159</v>
      </c>
      <c r="W15" s="25">
        <v>0.97106311083201124</v>
      </c>
    </row>
    <row r="16" spans="1:23" x14ac:dyDescent="0.35">
      <c r="A16" s="20" t="s">
        <v>56</v>
      </c>
      <c r="B16" s="21">
        <v>1129278.2979652262</v>
      </c>
      <c r="C16" s="21">
        <v>602797.15192156436</v>
      </c>
      <c r="D16" s="21">
        <v>408078.79814544966</v>
      </c>
      <c r="E16" s="21">
        <v>1585866.0025761668</v>
      </c>
      <c r="F16" s="21">
        <v>203388</v>
      </c>
      <c r="G16" s="21">
        <v>473366.82630892185</v>
      </c>
      <c r="H16" s="22"/>
      <c r="I16" s="21">
        <v>330425.80566494993</v>
      </c>
      <c r="J16" s="21">
        <v>76258.99474776999</v>
      </c>
      <c r="K16" s="21">
        <v>620699.52</v>
      </c>
      <c r="L16" s="21">
        <v>224940.44</v>
      </c>
      <c r="M16" s="21">
        <v>554324.96</v>
      </c>
      <c r="N16" s="22"/>
      <c r="O16" s="16">
        <v>4402775.0769173289</v>
      </c>
      <c r="P16" s="21">
        <v>961009.76041271992</v>
      </c>
      <c r="Q16" s="21">
        <v>3441765.3165046088</v>
      </c>
      <c r="R16" s="23">
        <v>4.5814051618232181</v>
      </c>
      <c r="S16" s="22"/>
      <c r="T16" s="16">
        <v>2140154.2480322402</v>
      </c>
      <c r="U16" s="21">
        <v>1252324.76041272</v>
      </c>
      <c r="V16" s="24">
        <v>887829.48761952017</v>
      </c>
      <c r="W16" s="31">
        <v>1.7089450881151023</v>
      </c>
    </row>
    <row r="17" spans="1:23" x14ac:dyDescent="0.35">
      <c r="A17" s="20" t="s">
        <v>57</v>
      </c>
      <c r="B17" s="21">
        <v>3812052.0131349289</v>
      </c>
      <c r="C17" s="21">
        <v>1512657.5720653019</v>
      </c>
      <c r="D17" s="21">
        <v>-464053.06124017469</v>
      </c>
      <c r="E17" s="21">
        <v>1637265.3250031827</v>
      </c>
      <c r="F17" s="21">
        <v>1464728.2372800002</v>
      </c>
      <c r="G17" s="21">
        <v>1535962.2669561433</v>
      </c>
      <c r="H17" s="22"/>
      <c r="I17" s="21">
        <v>502100.27150399005</v>
      </c>
      <c r="J17" s="21">
        <v>46859.381055059996</v>
      </c>
      <c r="K17" s="21">
        <v>402752.12</v>
      </c>
      <c r="L17" s="21">
        <v>54922.14</v>
      </c>
      <c r="M17" s="21">
        <v>851442.26567763276</v>
      </c>
      <c r="N17" s="22"/>
      <c r="O17" s="16">
        <v>9498612.3531993814</v>
      </c>
      <c r="P17" s="21">
        <v>1400401.9182366827</v>
      </c>
      <c r="Q17" s="21">
        <v>8098210.4349626992</v>
      </c>
      <c r="R17" s="23">
        <v>6.7827758799127951</v>
      </c>
      <c r="S17" s="22"/>
      <c r="T17" s="16">
        <v>4860656.5239600558</v>
      </c>
      <c r="U17" s="21">
        <v>1006633.91255905</v>
      </c>
      <c r="V17" s="24">
        <v>3854022.6114010056</v>
      </c>
      <c r="W17" s="25">
        <v>4.8286238555219798</v>
      </c>
    </row>
    <row r="18" spans="1:23" x14ac:dyDescent="0.35">
      <c r="A18" s="26" t="s">
        <v>76</v>
      </c>
      <c r="B18" s="21">
        <v>260299.69575475444</v>
      </c>
      <c r="C18" s="21">
        <v>124974.92269267092</v>
      </c>
      <c r="D18" s="21">
        <v>158190.42239988482</v>
      </c>
      <c r="E18" s="21">
        <v>103476.3810800542</v>
      </c>
      <c r="F18" s="21">
        <v>17860.745091623034</v>
      </c>
      <c r="G18" s="21">
        <v>124781.3118122303</v>
      </c>
      <c r="H18" s="22"/>
      <c r="I18" s="27">
        <v>79808</v>
      </c>
      <c r="J18" s="27">
        <v>12992</v>
      </c>
      <c r="K18" s="27">
        <v>0</v>
      </c>
      <c r="L18" s="27">
        <v>0</v>
      </c>
      <c r="M18" s="21">
        <v>392614.66636336851</v>
      </c>
      <c r="N18" s="22"/>
      <c r="O18" s="16">
        <v>789583.47883121774</v>
      </c>
      <c r="P18" s="27">
        <v>485414.66636336851</v>
      </c>
      <c r="Q18" s="27">
        <v>304168.81246784923</v>
      </c>
      <c r="R18" s="23">
        <v>1.6266164447535596</v>
      </c>
      <c r="S18" s="22"/>
      <c r="T18" s="16">
        <v>543465.04084731021</v>
      </c>
      <c r="U18" s="27">
        <v>92800</v>
      </c>
      <c r="V18" s="33">
        <v>450665.04084731021</v>
      </c>
      <c r="W18" s="25">
        <v>5.8563043194753259</v>
      </c>
    </row>
    <row r="19" spans="1:23" x14ac:dyDescent="0.35">
      <c r="A19" s="26" t="s">
        <v>77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2"/>
      <c r="I19" s="27">
        <v>263805</v>
      </c>
      <c r="J19" s="27">
        <v>42945</v>
      </c>
      <c r="K19" s="27">
        <v>161193.76</v>
      </c>
      <c r="L19" s="27">
        <v>15942.240000000002</v>
      </c>
      <c r="M19" s="21">
        <v>0</v>
      </c>
      <c r="N19" s="22"/>
      <c r="O19" s="16">
        <v>0</v>
      </c>
      <c r="P19" s="27">
        <v>306750</v>
      </c>
      <c r="Q19" s="27">
        <v>-306750</v>
      </c>
      <c r="R19" s="23">
        <v>0</v>
      </c>
      <c r="S19" s="22"/>
      <c r="T19" s="16">
        <v>0</v>
      </c>
      <c r="U19" s="49">
        <v>483886</v>
      </c>
      <c r="V19" s="51">
        <v>-483886</v>
      </c>
      <c r="W19" s="50">
        <v>0</v>
      </c>
    </row>
    <row r="20" spans="1:23" ht="15" thickBot="1" x14ac:dyDescent="0.4">
      <c r="A20" s="26" t="s">
        <v>58</v>
      </c>
      <c r="B20" s="21">
        <v>473223.29331703181</v>
      </c>
      <c r="C20" s="21">
        <v>302694.69157854805</v>
      </c>
      <c r="D20" s="21">
        <v>237244.32300151192</v>
      </c>
      <c r="E20" s="21">
        <v>0</v>
      </c>
      <c r="F20" s="21">
        <v>0</v>
      </c>
      <c r="G20" s="21">
        <v>187567.65592725383</v>
      </c>
      <c r="H20" s="22"/>
      <c r="I20" s="27">
        <v>0</v>
      </c>
      <c r="J20" s="27">
        <v>0</v>
      </c>
      <c r="K20" s="27">
        <v>0</v>
      </c>
      <c r="L20" s="27">
        <v>0</v>
      </c>
      <c r="M20" s="21">
        <v>0</v>
      </c>
      <c r="N20" s="22"/>
      <c r="O20" s="16">
        <v>1200729.9638243457</v>
      </c>
      <c r="P20" s="27">
        <v>0</v>
      </c>
      <c r="Q20" s="27">
        <v>1200729.9638243457</v>
      </c>
      <c r="R20" s="32" t="s">
        <v>59</v>
      </c>
      <c r="S20" s="22"/>
      <c r="T20" s="16">
        <v>1013162.3078970918</v>
      </c>
      <c r="U20" s="27">
        <v>0</v>
      </c>
      <c r="V20" s="33">
        <v>1013162.3078970918</v>
      </c>
      <c r="W20" s="34" t="s">
        <v>59</v>
      </c>
    </row>
    <row r="21" spans="1:23" x14ac:dyDescent="0.35">
      <c r="A21" s="35" t="s">
        <v>60</v>
      </c>
      <c r="B21" s="36">
        <v>145631314.99161568</v>
      </c>
      <c r="C21" s="36">
        <v>81847030.258021012</v>
      </c>
      <c r="D21" s="36">
        <v>557449.78090139071</v>
      </c>
      <c r="E21" s="36">
        <v>319785.68480167887</v>
      </c>
      <c r="F21" s="36">
        <v>35651552.796206653</v>
      </c>
      <c r="G21" s="36">
        <v>71505340.602803245</v>
      </c>
      <c r="H21" s="11"/>
      <c r="I21" s="36">
        <v>13008688.833475679</v>
      </c>
      <c r="J21" s="36">
        <v>1772188.2999999998</v>
      </c>
      <c r="K21" s="36">
        <v>37643483.479999997</v>
      </c>
      <c r="L21" s="36">
        <v>2637967.7800000003</v>
      </c>
      <c r="M21" s="36">
        <v>78134171.398203149</v>
      </c>
      <c r="N21" s="11"/>
      <c r="O21" s="36">
        <v>335512474.11434966</v>
      </c>
      <c r="P21" s="36">
        <v>92915048.531678826</v>
      </c>
      <c r="Q21" s="36">
        <v>242597425.58267084</v>
      </c>
      <c r="R21" s="37">
        <v>3.6109594669151868</v>
      </c>
      <c r="S21" s="11"/>
      <c r="T21" s="36">
        <v>228035795.03053811</v>
      </c>
      <c r="U21" s="36">
        <v>55062328.393475682</v>
      </c>
      <c r="V21" s="36">
        <v>172973466.63706243</v>
      </c>
      <c r="W21" s="37">
        <v>4.1414121357344928</v>
      </c>
    </row>
    <row r="22" spans="1:23" x14ac:dyDescent="0.35">
      <c r="A22" s="20" t="s">
        <v>61</v>
      </c>
      <c r="B22" s="21">
        <v>97075329.446368247</v>
      </c>
      <c r="C22" s="21">
        <v>64677879.406599961</v>
      </c>
      <c r="D22" s="21">
        <v>-7399617.5875986191</v>
      </c>
      <c r="E22" s="21">
        <v>319785.68480167887</v>
      </c>
      <c r="F22" s="21">
        <v>31739732.065904036</v>
      </c>
      <c r="G22" s="21">
        <v>46089014.600481085</v>
      </c>
      <c r="H22" s="22"/>
      <c r="I22" s="21">
        <v>8095201.9271661602</v>
      </c>
      <c r="J22" s="21">
        <v>652958.92999999993</v>
      </c>
      <c r="K22" s="21">
        <v>28205206.379999995</v>
      </c>
      <c r="L22" s="21">
        <v>810117.94</v>
      </c>
      <c r="M22" s="21">
        <v>48977577.740540817</v>
      </c>
      <c r="N22" s="22"/>
      <c r="O22" s="21">
        <v>232502123.61655641</v>
      </c>
      <c r="P22" s="21">
        <v>57725738.597706974</v>
      </c>
      <c r="Q22" s="21">
        <v>174776385.01884943</v>
      </c>
      <c r="R22" s="23">
        <v>4.0277028802848793</v>
      </c>
      <c r="S22" s="22"/>
      <c r="T22" s="21">
        <v>154353591.26536959</v>
      </c>
      <c r="U22" s="21">
        <v>37763485.177166149</v>
      </c>
      <c r="V22" s="24">
        <v>116590106.08820345</v>
      </c>
      <c r="W22" s="25">
        <v>4.0873767487620594</v>
      </c>
    </row>
    <row r="23" spans="1:23" x14ac:dyDescent="0.35">
      <c r="A23" s="20" t="s">
        <v>62</v>
      </c>
      <c r="B23" s="21">
        <v>25568969.086068589</v>
      </c>
      <c r="C23" s="21">
        <v>17169150.851421047</v>
      </c>
      <c r="D23" s="21">
        <v>7842535.964640459</v>
      </c>
      <c r="E23" s="21">
        <v>0</v>
      </c>
      <c r="F23" s="21">
        <v>0</v>
      </c>
      <c r="G23" s="21">
        <v>12782820.446868083</v>
      </c>
      <c r="H23" s="22"/>
      <c r="I23" s="21">
        <v>3808440.3024453609</v>
      </c>
      <c r="J23" s="21">
        <v>781716.91</v>
      </c>
      <c r="K23" s="21">
        <v>8092580.7999999998</v>
      </c>
      <c r="L23" s="21">
        <v>1783278.8400000003</v>
      </c>
      <c r="M23" s="21">
        <v>22823718.561007909</v>
      </c>
      <c r="N23" s="22"/>
      <c r="O23" s="21">
        <v>63363476.348998182</v>
      </c>
      <c r="P23" s="21">
        <v>27413875.773453269</v>
      </c>
      <c r="Q23" s="21">
        <v>35949600.575544909</v>
      </c>
      <c r="R23" s="23">
        <v>2.3113651229994034</v>
      </c>
      <c r="S23" s="22"/>
      <c r="T23" s="21">
        <v>50580655.902130097</v>
      </c>
      <c r="U23" s="21">
        <v>14466016.85244536</v>
      </c>
      <c r="V23" s="24">
        <v>36114639.049684733</v>
      </c>
      <c r="W23" s="25">
        <v>3.4965157595250456</v>
      </c>
    </row>
    <row r="24" spans="1:23" x14ac:dyDescent="0.35">
      <c r="A24" s="20" t="s">
        <v>63</v>
      </c>
      <c r="B24" s="21">
        <v>2010817.2371943151</v>
      </c>
      <c r="C24" s="21">
        <v>0</v>
      </c>
      <c r="D24" s="21">
        <v>114531.40385955067</v>
      </c>
      <c r="E24" s="21">
        <v>0</v>
      </c>
      <c r="F24" s="21">
        <v>0</v>
      </c>
      <c r="G24" s="21">
        <v>735606.89541706792</v>
      </c>
      <c r="H24" s="22"/>
      <c r="I24" s="21">
        <v>871422.53693208005</v>
      </c>
      <c r="J24" s="21">
        <v>334953.05000000005</v>
      </c>
      <c r="K24" s="21">
        <v>55245.520000000004</v>
      </c>
      <c r="L24" s="21">
        <v>44571</v>
      </c>
      <c r="M24" s="21">
        <v>166906.4</v>
      </c>
      <c r="N24" s="22"/>
      <c r="O24" s="21">
        <v>2860955.5364709338</v>
      </c>
      <c r="P24" s="21">
        <v>1373281.98693208</v>
      </c>
      <c r="Q24" s="21">
        <v>1487673.5495388538</v>
      </c>
      <c r="R24" s="23">
        <v>2.0832979414973067</v>
      </c>
      <c r="S24" s="22"/>
      <c r="T24" s="21">
        <v>2125348.6410538657</v>
      </c>
      <c r="U24" s="21">
        <v>1306192.1069320801</v>
      </c>
      <c r="V24" s="24">
        <v>819156.53412178555</v>
      </c>
      <c r="W24" s="25">
        <v>1.6271332752467631</v>
      </c>
    </row>
    <row r="25" spans="1:23" x14ac:dyDescent="0.35">
      <c r="A25" s="26" t="s">
        <v>64</v>
      </c>
      <c r="B25" s="21">
        <v>20943635.959132105</v>
      </c>
      <c r="C25" s="21">
        <v>0</v>
      </c>
      <c r="D25" s="21">
        <v>0</v>
      </c>
      <c r="E25" s="21">
        <v>0</v>
      </c>
      <c r="F25" s="21">
        <v>3911820.7303026188</v>
      </c>
      <c r="G25" s="21">
        <v>11881487.939651065</v>
      </c>
      <c r="H25" s="22"/>
      <c r="I25" s="21">
        <v>217902.03693207999</v>
      </c>
      <c r="J25" s="21">
        <v>0</v>
      </c>
      <c r="K25" s="21">
        <v>1290450.7800000003</v>
      </c>
      <c r="L25" s="21">
        <v>0</v>
      </c>
      <c r="M25" s="21">
        <v>6165968.6966544185</v>
      </c>
      <c r="N25" s="22"/>
      <c r="O25" s="27">
        <v>36736944.629085787</v>
      </c>
      <c r="P25" s="27">
        <v>6383870.7335864985</v>
      </c>
      <c r="Q25" s="27">
        <v>30353073.895499289</v>
      </c>
      <c r="R25" s="28">
        <v>5.7546504561577709</v>
      </c>
      <c r="S25" s="22"/>
      <c r="T25" s="27">
        <v>20943635.959132105</v>
      </c>
      <c r="U25" s="27">
        <v>1508352.8169320803</v>
      </c>
      <c r="V25" s="33">
        <v>19435283.142200023</v>
      </c>
      <c r="W25" s="25">
        <v>13.885104150718854</v>
      </c>
    </row>
    <row r="26" spans="1:23" ht="15" thickBot="1" x14ac:dyDescent="0.4">
      <c r="A26" s="20" t="s">
        <v>65</v>
      </c>
      <c r="B26" s="33">
        <v>32563.262852422431</v>
      </c>
      <c r="C26" s="33">
        <v>0</v>
      </c>
      <c r="D26" s="33">
        <v>0</v>
      </c>
      <c r="E26" s="33">
        <v>0</v>
      </c>
      <c r="F26" s="33">
        <v>0</v>
      </c>
      <c r="G26" s="38">
        <v>16410.720385950772</v>
      </c>
      <c r="H26" s="22"/>
      <c r="I26" s="21">
        <v>15722.03</v>
      </c>
      <c r="J26" s="21">
        <v>2559.41</v>
      </c>
      <c r="K26" s="21">
        <v>0</v>
      </c>
      <c r="L26" s="21">
        <v>0</v>
      </c>
      <c r="M26" s="38">
        <v>0</v>
      </c>
      <c r="N26" s="22"/>
      <c r="O26" s="39">
        <v>48973.983238373199</v>
      </c>
      <c r="P26" s="27">
        <v>18281.440000000002</v>
      </c>
      <c r="Q26" s="27">
        <v>30692.543238373197</v>
      </c>
      <c r="R26" s="28">
        <v>2.6788908990961979</v>
      </c>
      <c r="S26" s="22"/>
      <c r="T26" s="39">
        <v>32563.262852422431</v>
      </c>
      <c r="U26" s="27">
        <v>18281.440000000002</v>
      </c>
      <c r="V26" s="27">
        <v>14281.822852422429</v>
      </c>
      <c r="W26" s="52">
        <v>1.7812197973694865</v>
      </c>
    </row>
    <row r="27" spans="1:23" x14ac:dyDescent="0.35">
      <c r="A27" s="35" t="s">
        <v>66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11"/>
      <c r="I27" s="36">
        <v>14305998.090000022</v>
      </c>
      <c r="J27" s="36">
        <v>1851275.4296800029</v>
      </c>
      <c r="K27" s="36">
        <v>0</v>
      </c>
      <c r="L27" s="36">
        <v>0</v>
      </c>
      <c r="M27" s="36">
        <v>0</v>
      </c>
      <c r="N27" s="11"/>
      <c r="O27" s="36">
        <v>0</v>
      </c>
      <c r="P27" s="36">
        <v>16157273.519680025</v>
      </c>
      <c r="Q27" s="36">
        <v>-16157273.519680025</v>
      </c>
      <c r="R27" s="40" t="s">
        <v>59</v>
      </c>
      <c r="S27" s="11"/>
      <c r="T27" s="36">
        <v>0</v>
      </c>
      <c r="U27" s="36">
        <v>16157273.519680025</v>
      </c>
      <c r="V27" s="36">
        <v>-16157273.519680025</v>
      </c>
      <c r="W27" s="34" t="s">
        <v>59</v>
      </c>
    </row>
    <row r="28" spans="1:23" x14ac:dyDescent="0.35">
      <c r="A28" s="20" t="s">
        <v>67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2"/>
      <c r="I28" s="21">
        <v>2716336.7000000007</v>
      </c>
      <c r="J28" s="21">
        <v>0</v>
      </c>
      <c r="K28" s="21">
        <v>0</v>
      </c>
      <c r="L28" s="21">
        <v>0</v>
      </c>
      <c r="M28" s="21">
        <v>0</v>
      </c>
      <c r="N28" s="22"/>
      <c r="O28" s="41">
        <v>0</v>
      </c>
      <c r="P28" s="21">
        <v>2716336.7000000007</v>
      </c>
      <c r="Q28" s="21">
        <v>-2716336.7000000007</v>
      </c>
      <c r="R28" s="32" t="s">
        <v>59</v>
      </c>
      <c r="S28" s="22"/>
      <c r="T28" s="41">
        <v>0</v>
      </c>
      <c r="U28" s="21">
        <v>2716336.7000000007</v>
      </c>
      <c r="V28" s="24">
        <v>-2716336.7000000007</v>
      </c>
      <c r="W28" s="32" t="s">
        <v>59</v>
      </c>
    </row>
    <row r="29" spans="1:23" x14ac:dyDescent="0.35">
      <c r="A29" s="20" t="s">
        <v>68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2"/>
      <c r="I29" s="21">
        <v>2783953.63</v>
      </c>
      <c r="J29" s="21">
        <v>484294.73000000021</v>
      </c>
      <c r="K29" s="21">
        <v>0</v>
      </c>
      <c r="L29" s="21">
        <v>0</v>
      </c>
      <c r="M29" s="21">
        <v>0</v>
      </c>
      <c r="N29" s="22"/>
      <c r="O29" s="41">
        <v>0</v>
      </c>
      <c r="P29" s="21">
        <v>3268248.3600000003</v>
      </c>
      <c r="Q29" s="21">
        <v>-3268248.3600000003</v>
      </c>
      <c r="R29" s="32" t="s">
        <v>59</v>
      </c>
      <c r="S29" s="22"/>
      <c r="T29" s="41">
        <v>0</v>
      </c>
      <c r="U29" s="21">
        <v>3268248.3600000003</v>
      </c>
      <c r="V29" s="24">
        <v>-3268248.3600000003</v>
      </c>
      <c r="W29" s="32" t="s">
        <v>59</v>
      </c>
    </row>
    <row r="30" spans="1:23" x14ac:dyDescent="0.35">
      <c r="A30" s="20" t="s">
        <v>69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2"/>
      <c r="I30" s="21">
        <v>1779688.1300000001</v>
      </c>
      <c r="J30" s="21">
        <v>207055.17968000003</v>
      </c>
      <c r="K30" s="21">
        <v>0</v>
      </c>
      <c r="L30" s="21">
        <v>0</v>
      </c>
      <c r="M30" s="21">
        <v>0</v>
      </c>
      <c r="N30" s="22"/>
      <c r="O30" s="41">
        <v>0</v>
      </c>
      <c r="P30" s="21">
        <v>1986743.3096800002</v>
      </c>
      <c r="Q30" s="21">
        <v>-1986743.3096800002</v>
      </c>
      <c r="R30" s="32" t="s">
        <v>59</v>
      </c>
      <c r="S30" s="22"/>
      <c r="T30" s="41">
        <v>0</v>
      </c>
      <c r="U30" s="21">
        <v>1986743.3096800002</v>
      </c>
      <c r="V30" s="24">
        <v>-1986743.3096800002</v>
      </c>
      <c r="W30" s="32" t="s">
        <v>59</v>
      </c>
    </row>
    <row r="31" spans="1:23" x14ac:dyDescent="0.35">
      <c r="A31" s="26" t="s">
        <v>70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2"/>
      <c r="I31" s="27">
        <v>4794768.8200000059</v>
      </c>
      <c r="J31" s="27">
        <v>785251.35000000068</v>
      </c>
      <c r="K31" s="27">
        <v>0</v>
      </c>
      <c r="L31" s="27">
        <v>0</v>
      </c>
      <c r="M31" s="27">
        <v>0</v>
      </c>
      <c r="N31" s="22"/>
      <c r="O31" s="41">
        <v>0</v>
      </c>
      <c r="P31" s="27">
        <v>5580020.1700000064</v>
      </c>
      <c r="Q31" s="27">
        <v>-5580020.1700000064</v>
      </c>
      <c r="R31" s="42" t="s">
        <v>59</v>
      </c>
      <c r="S31" s="22"/>
      <c r="T31" s="41">
        <v>0</v>
      </c>
      <c r="U31" s="27">
        <v>5580020.1700000064</v>
      </c>
      <c r="V31" s="27">
        <v>-5580020.1700000064</v>
      </c>
      <c r="W31" s="42" t="s">
        <v>59</v>
      </c>
    </row>
    <row r="32" spans="1:23" ht="15" thickBot="1" x14ac:dyDescent="0.4">
      <c r="A32" s="20" t="s">
        <v>71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2"/>
      <c r="I32" s="27">
        <v>2231250.8100000173</v>
      </c>
      <c r="J32" s="27">
        <v>374674.17000000179</v>
      </c>
      <c r="K32" s="27">
        <v>0</v>
      </c>
      <c r="L32" s="27">
        <v>0</v>
      </c>
      <c r="M32" s="27">
        <v>0</v>
      </c>
      <c r="N32" s="22"/>
      <c r="O32" s="39">
        <v>0</v>
      </c>
      <c r="P32" s="27">
        <v>2605924.9800000191</v>
      </c>
      <c r="Q32" s="27">
        <v>-2605924.9800000191</v>
      </c>
      <c r="R32" s="42" t="s">
        <v>59</v>
      </c>
      <c r="S32" s="22"/>
      <c r="T32" s="39">
        <v>0</v>
      </c>
      <c r="U32" s="27">
        <v>2605924.9800000191</v>
      </c>
      <c r="V32" s="27">
        <v>-2605924.9800000191</v>
      </c>
      <c r="W32" s="42" t="s">
        <v>59</v>
      </c>
    </row>
    <row r="33" spans="1:23" ht="15" thickBot="1" x14ac:dyDescent="0.4">
      <c r="A33" s="43" t="s">
        <v>74</v>
      </c>
      <c r="B33" s="53">
        <v>194406345.82373637</v>
      </c>
      <c r="C33" s="53">
        <v>111834960.52773575</v>
      </c>
      <c r="D33" s="53">
        <v>13576933.592085531</v>
      </c>
      <c r="E33" s="53">
        <v>11427276.559890034</v>
      </c>
      <c r="F33" s="53">
        <v>50699153.014210835</v>
      </c>
      <c r="G33" s="53">
        <v>92096403.84440662</v>
      </c>
      <c r="H33" s="44"/>
      <c r="I33" s="54">
        <v>43933829.089225769</v>
      </c>
      <c r="J33" s="54">
        <v>6120680.7099869028</v>
      </c>
      <c r="K33" s="54">
        <v>55346952.173500001</v>
      </c>
      <c r="L33" s="54">
        <v>8844279.0958000012</v>
      </c>
      <c r="M33" s="54">
        <v>106073945.71385415</v>
      </c>
      <c r="N33" s="44"/>
      <c r="O33" s="53">
        <v>474041073.36206514</v>
      </c>
      <c r="P33" s="53">
        <v>156128455.51306683</v>
      </c>
      <c r="Q33" s="53">
        <v>317912617.84899831</v>
      </c>
      <c r="R33" s="45">
        <v>3.0362247023086146</v>
      </c>
      <c r="S33" s="44"/>
      <c r="T33" s="53">
        <v>319818239.94355768</v>
      </c>
      <c r="U33" s="53">
        <v>114245741.06851266</v>
      </c>
      <c r="V33" s="53">
        <v>205572498.875045</v>
      </c>
      <c r="W33" s="45">
        <v>2.7993887295261546</v>
      </c>
    </row>
    <row r="34" spans="1:23" x14ac:dyDescent="0.35">
      <c r="A34" s="43" t="s">
        <v>78</v>
      </c>
      <c r="B34" s="53">
        <f>B33-B6-B7-B8-B9-B10-B11-B17</f>
        <v>170172518.04992786</v>
      </c>
      <c r="C34" s="53">
        <f t="shared" ref="C34:Q34" si="0">C33-C6-C7-C8-C9-C10-C11-C17</f>
        <v>99001348.181417912</v>
      </c>
      <c r="D34" s="53">
        <f t="shared" si="0"/>
        <v>9022864.9718388002</v>
      </c>
      <c r="E34" s="53">
        <f t="shared" si="0"/>
        <v>4498060.1332163084</v>
      </c>
      <c r="F34" s="53">
        <f t="shared" si="0"/>
        <v>40732656.814278267</v>
      </c>
      <c r="G34" s="53">
        <f t="shared" si="0"/>
        <v>81768918.826489344</v>
      </c>
      <c r="H34" s="44"/>
      <c r="I34" s="53">
        <f t="shared" si="0"/>
        <v>34316682.562509447</v>
      </c>
      <c r="J34" s="53">
        <f t="shared" si="0"/>
        <v>4435025.4099694537</v>
      </c>
      <c r="K34" s="53">
        <f t="shared" si="0"/>
        <v>44374252.884000003</v>
      </c>
      <c r="L34" s="53">
        <f t="shared" si="0"/>
        <v>4511560.3900000006</v>
      </c>
      <c r="M34" s="53">
        <f t="shared" si="0"/>
        <v>85673580.883875862</v>
      </c>
      <c r="N34" s="44"/>
      <c r="O34" s="53">
        <f t="shared" si="0"/>
        <v>405196366.97716856</v>
      </c>
      <c r="P34" s="53">
        <f t="shared" si="0"/>
        <v>124425288.85635476</v>
      </c>
      <c r="Q34" s="53">
        <f t="shared" si="0"/>
        <v>280771078.12081373</v>
      </c>
      <c r="R34" s="45">
        <f>O34/P34</f>
        <v>3.2565435105797147</v>
      </c>
      <c r="S34" s="44"/>
      <c r="T34" s="53">
        <f>T33-T6-T7-T8-T9-T10-T11-T17</f>
        <v>278196731.20318455</v>
      </c>
      <c r="U34" s="53">
        <f t="shared" ref="U34:V34" si="1">U33-U6-U7-U8-U9-U10-U11-U17</f>
        <v>87637521.2464789</v>
      </c>
      <c r="V34" s="53">
        <f t="shared" si="1"/>
        <v>190559209.95670572</v>
      </c>
      <c r="W34" s="45">
        <f>T34/U34</f>
        <v>3.1744020968000841</v>
      </c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6B4E-AC42-49EE-8BC0-728E920A2142}">
  <dimension ref="A1:W4"/>
  <sheetViews>
    <sheetView topLeftCell="E1" workbookViewId="0">
      <selection activeCell="Q22" sqref="Q22"/>
    </sheetView>
  </sheetViews>
  <sheetFormatPr defaultRowHeight="14.5" x14ac:dyDescent="0.35"/>
  <cols>
    <col min="1" max="1" width="17.54296875" bestFit="1" customWidth="1"/>
    <col min="2" max="3" width="14" bestFit="1" customWidth="1"/>
    <col min="4" max="4" width="14.54296875" customWidth="1"/>
    <col min="5" max="6" width="14" customWidth="1"/>
    <col min="7" max="7" width="16" customWidth="1"/>
    <col min="8" max="8" width="1.7265625" customWidth="1"/>
    <col min="9" max="9" width="14" bestFit="1" customWidth="1"/>
    <col min="10" max="12" width="9.26953125" bestFit="1" customWidth="1"/>
    <col min="13" max="13" width="12.7265625" bestFit="1" customWidth="1"/>
    <col min="14" max="14" width="1.7265625" customWidth="1"/>
    <col min="15" max="15" width="20" bestFit="1" customWidth="1"/>
    <col min="16" max="16" width="14" bestFit="1" customWidth="1"/>
    <col min="17" max="17" width="15.1796875" bestFit="1" customWidth="1"/>
    <col min="18" max="18" width="8.81640625" bestFit="1" customWidth="1"/>
    <col min="19" max="19" width="1.7265625" customWidth="1"/>
    <col min="20" max="20" width="15.1796875" bestFit="1" customWidth="1"/>
    <col min="21" max="21" width="14" bestFit="1" customWidth="1"/>
    <col min="22" max="22" width="18.54296875" bestFit="1" customWidth="1"/>
    <col min="23" max="23" width="12.7265625" bestFit="1" customWidth="1"/>
  </cols>
  <sheetData>
    <row r="1" spans="1:23" x14ac:dyDescent="0.35">
      <c r="A1" s="111" t="s">
        <v>11</v>
      </c>
      <c r="B1" s="113" t="s">
        <v>12</v>
      </c>
      <c r="C1" s="114"/>
      <c r="D1" s="114"/>
      <c r="E1" s="114"/>
      <c r="F1" s="114"/>
      <c r="G1" s="114"/>
      <c r="H1" s="8"/>
      <c r="I1" s="113" t="s">
        <v>13</v>
      </c>
      <c r="J1" s="114"/>
      <c r="K1" s="114"/>
      <c r="L1" s="114"/>
      <c r="M1" s="115"/>
      <c r="N1" s="8"/>
      <c r="O1" s="113" t="s">
        <v>14</v>
      </c>
      <c r="P1" s="114"/>
      <c r="Q1" s="114"/>
      <c r="R1" s="115"/>
      <c r="S1" s="8"/>
      <c r="T1" s="113" t="s">
        <v>15</v>
      </c>
      <c r="U1" s="114"/>
      <c r="V1" s="114"/>
      <c r="W1" s="115"/>
    </row>
    <row r="2" spans="1:23" ht="54" x14ac:dyDescent="0.35">
      <c r="A2" s="112"/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1"/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1"/>
      <c r="O2" s="10" t="s">
        <v>27</v>
      </c>
      <c r="P2" s="10" t="s">
        <v>28</v>
      </c>
      <c r="Q2" s="10" t="s">
        <v>29</v>
      </c>
      <c r="R2" s="10" t="s">
        <v>30</v>
      </c>
      <c r="S2" s="11"/>
      <c r="T2" s="13" t="s">
        <v>31</v>
      </c>
      <c r="U2" s="13" t="s">
        <v>32</v>
      </c>
      <c r="V2" s="13" t="s">
        <v>33</v>
      </c>
      <c r="W2" s="13" t="s">
        <v>34</v>
      </c>
    </row>
    <row r="3" spans="1:23" x14ac:dyDescent="0.35">
      <c r="A3" s="46" t="s">
        <v>35</v>
      </c>
      <c r="B3" s="46" t="s">
        <v>36</v>
      </c>
      <c r="C3" s="46" t="s">
        <v>37</v>
      </c>
      <c r="D3" s="46" t="s">
        <v>38</v>
      </c>
      <c r="E3" s="46" t="s">
        <v>39</v>
      </c>
      <c r="F3" s="46" t="s">
        <v>72</v>
      </c>
      <c r="G3" s="46" t="s">
        <v>40</v>
      </c>
      <c r="H3" s="11"/>
      <c r="I3" s="46" t="s">
        <v>79</v>
      </c>
      <c r="J3" s="46" t="s">
        <v>41</v>
      </c>
      <c r="K3" s="46" t="s">
        <v>42</v>
      </c>
      <c r="L3" s="46" t="s">
        <v>43</v>
      </c>
      <c r="M3" s="46" t="s">
        <v>44</v>
      </c>
      <c r="N3" s="11"/>
      <c r="O3" s="46" t="s">
        <v>80</v>
      </c>
      <c r="P3" s="46" t="s">
        <v>81</v>
      </c>
      <c r="Q3" s="46" t="s">
        <v>82</v>
      </c>
      <c r="R3" s="46" t="s">
        <v>83</v>
      </c>
      <c r="S3" s="11"/>
      <c r="T3" s="46" t="s">
        <v>84</v>
      </c>
      <c r="U3" s="46" t="s">
        <v>85</v>
      </c>
      <c r="V3" s="46" t="s">
        <v>86</v>
      </c>
      <c r="W3" s="46" t="s">
        <v>87</v>
      </c>
    </row>
    <row r="4" spans="1:23" x14ac:dyDescent="0.35">
      <c r="A4" s="47" t="s">
        <v>73</v>
      </c>
      <c r="B4" s="21">
        <v>65700124.556080669</v>
      </c>
      <c r="C4" s="21">
        <v>42045352.698298126</v>
      </c>
      <c r="D4" s="21">
        <v>0</v>
      </c>
      <c r="E4" s="21">
        <v>0</v>
      </c>
      <c r="F4" s="21">
        <v>0</v>
      </c>
      <c r="G4" s="21">
        <v>33110514.087557722</v>
      </c>
      <c r="H4" s="48"/>
      <c r="I4" s="21">
        <v>21407601.206303723</v>
      </c>
      <c r="J4" s="21">
        <v>0</v>
      </c>
      <c r="K4" s="21">
        <v>0</v>
      </c>
      <c r="L4" s="21">
        <v>0</v>
      </c>
      <c r="M4" s="21">
        <v>9633468.3975251243</v>
      </c>
      <c r="N4" s="48"/>
      <c r="O4" s="21">
        <v>140855991.34193653</v>
      </c>
      <c r="P4" s="21">
        <v>31041069.603828847</v>
      </c>
      <c r="Q4" s="21">
        <v>109814921.73810768</v>
      </c>
      <c r="R4" s="17">
        <v>4.5377299538854245</v>
      </c>
      <c r="S4" s="48"/>
      <c r="T4" s="21">
        <v>107745477.2543788</v>
      </c>
      <c r="U4" s="21">
        <v>31041069.603828847</v>
      </c>
      <c r="V4" s="21">
        <v>76704407.650549948</v>
      </c>
      <c r="W4" s="17">
        <v>3.4710620036459257</v>
      </c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776A-48D6-461C-B188-D0BC7AED14C3}">
  <sheetPr>
    <tabColor theme="5"/>
  </sheetPr>
  <dimension ref="A1"/>
  <sheetViews>
    <sheetView workbookViewId="0">
      <selection activeCell="K26" sqref="K2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File Info</vt:lpstr>
      <vt:lpstr>2018-2021 EE Summary</vt:lpstr>
      <vt:lpstr>2018-2021 EE Summary (2)</vt:lpstr>
      <vt:lpstr>2018-2021 Voltage Opt. Summary</vt:lpstr>
      <vt:lpstr>Detailed Results</vt:lpstr>
      <vt:lpstr>2021 --&gt;</vt:lpstr>
      <vt:lpstr>SAG Summary - EE Portfolio '21</vt:lpstr>
      <vt:lpstr>SAG Summary - Voltage Opt. '21</vt:lpstr>
      <vt:lpstr>2020 --&gt;</vt:lpstr>
      <vt:lpstr>SAG Summary - EE Portfolio '20</vt:lpstr>
      <vt:lpstr>SAG Summary - Voltage Opt. '20</vt:lpstr>
      <vt:lpstr>2019 --&gt;</vt:lpstr>
      <vt:lpstr>SAG Summary - EE Portfolio '19</vt:lpstr>
      <vt:lpstr>SAG Summary - Voltage Opt. '19</vt:lpstr>
      <vt:lpstr>2018 --&gt;</vt:lpstr>
      <vt:lpstr>SAG Summary - EE Portfolio '18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Ross</dc:creator>
  <cp:lastModifiedBy>CJ Consulting</cp:lastModifiedBy>
  <dcterms:created xsi:type="dcterms:W3CDTF">2021-05-24T12:43:35Z</dcterms:created>
  <dcterms:modified xsi:type="dcterms:W3CDTF">2022-09-20T20:25:54Z</dcterms:modified>
</cp:coreProperties>
</file>